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trlProps/ctrlProp2.xml" ContentType="application/vnd.ms-excel.controlproperties+xml"/>
  <Override PartName="/docProps/app.xml" ContentType="application/vnd.openxmlformats-officedocument.extended-properties+xml"/>
  <Override PartName="/xl/ctrlProps/ctrlProp1.xml" ContentType="application/vnd.ms-excel.controlproperties+xml"/>
  <Override PartName="/xl/calcChain.xml" ContentType="application/vnd.openxmlformats-officedocument.spreadsheetml.calcChain+xml"/>
  <Override PartName="/xl/ctrlProps/ctrlProp9.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3.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lockStructure="1"/>
  <bookViews>
    <workbookView xWindow="0" yWindow="0" windowWidth="22260" windowHeight="12645"/>
  </bookViews>
  <sheets>
    <sheet name="Studierende nach Regionen" sheetId="1" r:id="rId1"/>
    <sheet name="Studierende nach Fachrichtung" sheetId="3" r:id="rId2"/>
    <sheet name="Erläuterungen" sheetId="4" r:id="rId3"/>
    <sheet name="Uebersetzungen" sheetId="5"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F28" i="1"/>
  <c r="G28" i="1"/>
  <c r="I28" i="1"/>
  <c r="J28" i="1"/>
  <c r="K28" i="1"/>
  <c r="A32" i="4"/>
  <c r="A31" i="4"/>
  <c r="A29" i="4"/>
  <c r="A28" i="4"/>
  <c r="A26" i="4"/>
  <c r="A25" i="4"/>
  <c r="A23" i="4"/>
  <c r="A22" i="4"/>
  <c r="A20" i="4"/>
  <c r="A19" i="4"/>
  <c r="A17" i="4"/>
  <c r="A16" i="4"/>
  <c r="A14" i="4"/>
  <c r="A13" i="4"/>
  <c r="A11" i="4"/>
  <c r="A9" i="4"/>
  <c r="A7" i="4"/>
  <c r="A21" i="3"/>
  <c r="A47" i="3"/>
  <c r="A46" i="3"/>
  <c r="A45" i="3"/>
  <c r="A44" i="3"/>
  <c r="A43" i="3"/>
  <c r="A42" i="3"/>
  <c r="A41" i="3"/>
  <c r="A40" i="3"/>
  <c r="A34" i="3"/>
  <c r="A33" i="3"/>
  <c r="A32" i="3"/>
  <c r="A31" i="3"/>
  <c r="A30" i="3"/>
  <c r="A29" i="3"/>
  <c r="A28" i="3"/>
  <c r="A27" i="3"/>
  <c r="A20" i="3"/>
  <c r="A19" i="3"/>
  <c r="A18" i="3"/>
  <c r="A17" i="3"/>
  <c r="A16" i="3"/>
  <c r="A15" i="3"/>
  <c r="A14" i="3"/>
  <c r="A11" i="3"/>
  <c r="A37" i="3"/>
  <c r="A24" i="3"/>
  <c r="A11" i="1"/>
  <c r="A9" i="3"/>
  <c r="L28" i="1"/>
  <c r="I27" i="1"/>
  <c r="H28" i="1"/>
  <c r="E27" i="1"/>
  <c r="D28" i="1"/>
  <c r="C28" i="1"/>
  <c r="B28" i="1"/>
  <c r="B27" i="1"/>
  <c r="A28" i="1"/>
  <c r="A41" i="1"/>
  <c r="A40" i="1"/>
  <c r="A39" i="1"/>
  <c r="A38" i="1"/>
  <c r="A37" i="1"/>
  <c r="A36" i="1"/>
  <c r="A35" i="1"/>
  <c r="A34" i="1"/>
  <c r="A33" i="1"/>
  <c r="A32" i="1"/>
  <c r="A31" i="1"/>
  <c r="A30" i="1"/>
  <c r="A29" i="1"/>
  <c r="A13" i="1"/>
  <c r="A22" i="1"/>
  <c r="A21" i="1"/>
  <c r="A20" i="1"/>
  <c r="A15" i="1"/>
  <c r="A14" i="1"/>
  <c r="A12" i="1"/>
  <c r="A26" i="1"/>
  <c r="A25" i="1"/>
  <c r="A18" i="1"/>
  <c r="A9" i="1"/>
  <c r="A7" i="3"/>
  <c r="A7" i="1"/>
  <c r="A35" i="4"/>
  <c r="A34" i="4"/>
  <c r="A50" i="3"/>
  <c r="A49" i="3"/>
  <c r="A44" i="1"/>
  <c r="A43" i="1"/>
</calcChain>
</file>

<file path=xl/sharedStrings.xml><?xml version="1.0" encoding="utf-8"?>
<sst xmlns="http://schemas.openxmlformats.org/spreadsheetml/2006/main" count="346" uniqueCount="266">
  <si>
    <t>Studierende in den Herbsemestern</t>
  </si>
  <si>
    <t>HS</t>
  </si>
  <si>
    <t>2013/14</t>
  </si>
  <si>
    <t>2014/15</t>
  </si>
  <si>
    <t>2015/16</t>
  </si>
  <si>
    <t>2016/17</t>
  </si>
  <si>
    <t>2017/18</t>
  </si>
  <si>
    <t>2018/19</t>
  </si>
  <si>
    <t>2019/20</t>
  </si>
  <si>
    <t>2020/21</t>
  </si>
  <si>
    <t>2021/22</t>
  </si>
  <si>
    <t>Männer</t>
  </si>
  <si>
    <t>Frauen</t>
  </si>
  <si>
    <t xml:space="preserve">Total </t>
  </si>
  <si>
    <t>Eintritte</t>
  </si>
  <si>
    <t xml:space="preserve"> </t>
  </si>
  <si>
    <t>Total</t>
  </si>
  <si>
    <t>Nach Herkunftsbezirk</t>
  </si>
  <si>
    <t>Region Albula</t>
  </si>
  <si>
    <t>Region Bernina</t>
  </si>
  <si>
    <t>Region Engiadina Bassa/Val Müstair</t>
  </si>
  <si>
    <t>Region Imboden</t>
  </si>
  <si>
    <t>Region Landquart</t>
  </si>
  <si>
    <t>Region Maloja</t>
  </si>
  <si>
    <t>Region Moesa</t>
  </si>
  <si>
    <t>Region Plessur</t>
  </si>
  <si>
    <t>Region Prättigau/Davos</t>
  </si>
  <si>
    <t>Region Surselva</t>
  </si>
  <si>
    <t>Region Viamala</t>
  </si>
  <si>
    <t>BS</t>
  </si>
  <si>
    <t>BE</t>
  </si>
  <si>
    <t>FR</t>
  </si>
  <si>
    <t>GE</t>
  </si>
  <si>
    <t>LS</t>
  </si>
  <si>
    <t>LU</t>
  </si>
  <si>
    <t>NE</t>
  </si>
  <si>
    <t>SG</t>
  </si>
  <si>
    <t>UZH</t>
  </si>
  <si>
    <t>USI</t>
  </si>
  <si>
    <t>EPFL</t>
  </si>
  <si>
    <t>ETHZ</t>
  </si>
  <si>
    <t>TOTAL</t>
  </si>
  <si>
    <t>1 Geistes- + Sozialwissenschaften</t>
  </si>
  <si>
    <t>2 Wirtschaftswissenschaften</t>
  </si>
  <si>
    <t>3 Recht</t>
  </si>
  <si>
    <t>4 Exakte + Naturwissenschaften</t>
  </si>
  <si>
    <t>5 Medizin + Pharmazie</t>
  </si>
  <si>
    <t>6 Technische Wissenschaften</t>
  </si>
  <si>
    <t>7 Interdisziplinäre + andere</t>
  </si>
  <si>
    <t>Total Kanton</t>
  </si>
  <si>
    <t>Total Schweiz</t>
  </si>
  <si>
    <t>Erläuterungen zu den Tabellen</t>
  </si>
  <si>
    <t>Pro Tausend Einwohner</t>
  </si>
  <si>
    <t>Bevölkerung</t>
  </si>
  <si>
    <t>Studierende</t>
  </si>
  <si>
    <t>Männeranteil</t>
  </si>
  <si>
    <t>Frauenanteil</t>
  </si>
  <si>
    <t>Abschlussexamen</t>
  </si>
  <si>
    <t>Universitäre Hochschulen</t>
  </si>
  <si>
    <t>Herkunftskanton/-bezirk</t>
  </si>
  <si>
    <t>Studierendenanteil</t>
  </si>
  <si>
    <t>Männer- bzw. Frauenquote</t>
  </si>
  <si>
    <t>Quelle: SHIS-BFS</t>
  </si>
  <si>
    <t>2022/23</t>
  </si>
  <si>
    <t>Als Studierende gelten alle an einer schweizerischen universitären Hochschule (UH) immatrikulierten Personen mit der Möglichkeit, ein Hochschulexamen mit min. 60 ECTS zu absolvieren (Hörer/-innen sind somit ausgeschlossen). Ist eine studierende Person an mehr als einer Hochschule immatrikuliert, wird sie nur einmal gezählt.</t>
  </si>
  <si>
    <t>Als Eintritte gemäss Schweizerischem Hochschulinformationssystem SHIS gelten alle Personen schweizerischer oder ausländischer Nationalität, die sich zum ersten Mal an einer schweizerischen universitären Hochschule auf Stufe Lizenziat/Diplom oder Bachelor immatrikulieren. Erstimmatrikulierte, die vorher an einer ausländischen Hochschule studiert haben, werden ebenfalls als Eintritte gezählt. HS = Herbstsemester</t>
  </si>
  <si>
    <t>Der Studierendenanteil wird in Promille der ständigen Wohnbevölkerung angegeben. Als Berechnungsgrundlage dienen die STATPOP-Daten (Stand 31.12.).</t>
  </si>
  <si>
    <t>Als Männer- bzw. Frauenquote gilt der prozentuale Anteil der männlichen (% M/H) bzw. weiblichen (% F) Studierenden an der Gesamtzahl der Studierenden (Total) aus dem entsprechenden Gebiet.</t>
  </si>
  <si>
    <t>Als Herkunftskanton/-bezirk gilt jener Kanton/Bezirk, in welchem sich der gesetzliche Wohnsitz der Studierenden (gemäss Art. 23 und 26 ZGB) zur Zeit des Erwerbs des Studienberechtigungsausweises (z.B. Gymnasiale Matura) befand. Da bei Er-stimmatrikulation auf Stufe ‘universitäre Weiterbildung’ der Wohnort vor Studienbeginn nicht zwingend erhoben werden muss, kann es zu kleinen Inkohärenzen in den Daten kommen.</t>
  </si>
  <si>
    <t>Als universitäre Hochschulen gelten die zehn kantonalen Universitäten Basel (BS), Bern (BE), Freiburg (FR), Genf (GE), Lausanne (LS), Luzern (LU), Neuenburg (NE), St. Gallen (SG), Italienische Schweiz (USI) und Zürich (ZH), die beiden Eidge-nössischen Technischen Hochschulen Lausanne (EPFL) und Zürich (ETHZ) sowie die ‚Anderen universitären Institutionen’ (Fernstudien Schweiz, IHEID).</t>
  </si>
  <si>
    <t>Tabelle</t>
  </si>
  <si>
    <t>Code</t>
  </si>
  <si>
    <t>DE</t>
  </si>
  <si>
    <t>RM</t>
  </si>
  <si>
    <t>IT</t>
  </si>
  <si>
    <t>Sprache</t>
  </si>
  <si>
    <t>&lt;Fachbereich&gt;</t>
  </si>
  <si>
    <t>Daten &amp; Statistik</t>
  </si>
  <si>
    <t>Datas &amp; Statistica</t>
  </si>
  <si>
    <t>Dati &amp; Statistica</t>
  </si>
  <si>
    <t>T1</t>
  </si>
  <si>
    <t>&lt;Titel&gt;</t>
  </si>
  <si>
    <t>T1-2</t>
  </si>
  <si>
    <t>&lt;SpaltenTitel_1&gt;</t>
  </si>
  <si>
    <t>Totale</t>
  </si>
  <si>
    <t>&lt;SpaltenTitel_2&gt;</t>
  </si>
  <si>
    <t>&lt;SpaltenTitel_3&gt;</t>
  </si>
  <si>
    <t>&lt;SpaltenTitel_1.1&gt;</t>
  </si>
  <si>
    <t>&lt;SpaltenTitel_1.2&gt;</t>
  </si>
  <si>
    <t>&lt;SpaltenTitel_2.1&gt;</t>
  </si>
  <si>
    <t>&lt;SpaltenTitel_2.2&gt;</t>
  </si>
  <si>
    <t>&lt;SpaltenTitel_3.1&gt;</t>
  </si>
  <si>
    <t>&lt;SpaltenTitel_3.2&gt;</t>
  </si>
  <si>
    <t>&lt;Zeilentitel_1&gt;</t>
  </si>
  <si>
    <t>&lt;Zeilentitel_2&gt;</t>
  </si>
  <si>
    <t>&lt;Zeilentitel_3&gt;</t>
  </si>
  <si>
    <t>&lt;Zeilentitel_4&gt;</t>
  </si>
  <si>
    <t>&lt;Zeilentitel_5&gt;</t>
  </si>
  <si>
    <t>&lt;Zeilentitel_6&gt;</t>
  </si>
  <si>
    <t>&lt;Zeilentitel_7&gt;</t>
  </si>
  <si>
    <t>&lt;Zeilentitel_8&gt;</t>
  </si>
  <si>
    <t>&lt;Zeilentitel_9&gt;</t>
  </si>
  <si>
    <t>&lt;Zeilentitel_10&gt;</t>
  </si>
  <si>
    <t>&lt;Zeilentitel_11&gt;</t>
  </si>
  <si>
    <t>&lt;Zeilentitel_12&gt;</t>
  </si>
  <si>
    <t>&lt;Zeilentitel_13&gt;</t>
  </si>
  <si>
    <t>&lt;Zeilentitel_14&gt;</t>
  </si>
  <si>
    <t>&lt;Zeilentitel_15&gt;</t>
  </si>
  <si>
    <t>&lt;Zeilentitel_16&gt;</t>
  </si>
  <si>
    <t>&lt;Zeilentitel_17&gt;</t>
  </si>
  <si>
    <t>&lt;Zeilentitel_18&gt;</t>
  </si>
  <si>
    <t>&lt;Quelle_1&gt;</t>
  </si>
  <si>
    <t>&lt;Aktualisierung&gt;</t>
  </si>
  <si>
    <t>T2</t>
  </si>
  <si>
    <t>&lt;T2Zeilentitel_1&gt;</t>
  </si>
  <si>
    <t>&lt;T2Zeilentitel_2&gt;</t>
  </si>
  <si>
    <t>&lt;T2Zeilentitel_3&gt;</t>
  </si>
  <si>
    <t>&lt;T2Zeilentitel_4&gt;</t>
  </si>
  <si>
    <t>&lt;T2Zeilentitel_5&gt;</t>
  </si>
  <si>
    <t>&lt;T2Zeilentitel_6&gt;</t>
  </si>
  <si>
    <t>&lt;T2Zeilentitel_7&gt;</t>
  </si>
  <si>
    <t>&lt;T2Zeilentitel_8&gt;</t>
  </si>
  <si>
    <t>Umens</t>
  </si>
  <si>
    <t>Uomini</t>
  </si>
  <si>
    <t>Dunnas</t>
  </si>
  <si>
    <t>Donne</t>
  </si>
  <si>
    <t>&lt;UTitel1&gt;</t>
  </si>
  <si>
    <t>&lt;UTitel2&gt;</t>
  </si>
  <si>
    <t>&lt;UTitel3&gt;</t>
  </si>
  <si>
    <t>&lt;UTitel3.1&gt;</t>
  </si>
  <si>
    <t>&lt;SpaltenTitel_1.3&gt;</t>
  </si>
  <si>
    <t>&lt;SpaltenTitel_2.3&gt;</t>
  </si>
  <si>
    <t>&lt;SpaltenTitel_2.4&gt;</t>
  </si>
  <si>
    <t>&lt;SpaltenTitel_3.3&gt;</t>
  </si>
  <si>
    <t>&lt;SpaltenTitel_3.4&gt;</t>
  </si>
  <si>
    <t>&lt;T2UTitel1&gt;</t>
  </si>
  <si>
    <t>&lt;T2UTitel2&gt;</t>
  </si>
  <si>
    <t>&lt;T2UTitel3&gt;</t>
  </si>
  <si>
    <t>T1-3</t>
  </si>
  <si>
    <t>&lt;T2Zeilentitel_1.1&gt;</t>
  </si>
  <si>
    <t>&lt;T2Zeilentitel_1.2&gt;</t>
  </si>
  <si>
    <t>&lt;T2Zeilentitel_1.3&gt;</t>
  </si>
  <si>
    <t>&lt;T3Erläuterungen_1&gt;</t>
  </si>
  <si>
    <t>&lt;T3Erläuterungen_2&gt;</t>
  </si>
  <si>
    <t>&lt;T3Erläuterungen_3&gt;</t>
  </si>
  <si>
    <t>&lt;T3Erläuterungen_4&gt;</t>
  </si>
  <si>
    <t>&lt;T3Erläuterungen_5&gt;</t>
  </si>
  <si>
    <t>&lt;T3Erläuterungen_6&gt;</t>
  </si>
  <si>
    <t>&lt;T3Erläuterungen_7&gt;</t>
  </si>
  <si>
    <t>&lt;T3Erläuterungen_8&gt;</t>
  </si>
  <si>
    <t>&lt;T3Erläuterungen_9&gt;</t>
  </si>
  <si>
    <t>&lt;T3Erläuterungen_10&gt;</t>
  </si>
  <si>
    <t>&lt;T3Erläuterungen_11&gt;</t>
  </si>
  <si>
    <t>&lt;T3Erläuterungen_12&gt;</t>
  </si>
  <si>
    <t>&lt;T3Erläuterungen_13&gt;</t>
  </si>
  <si>
    <t>&lt;T3Erläuterungen_14&gt;</t>
  </si>
  <si>
    <t>&lt;T3Erläuterungen_15&gt;</t>
  </si>
  <si>
    <r>
      <t xml:space="preserve">Unter Abschlussexamen wird jede Person pro Kalenderjahr höchstens einmal erfasst, und zwar an der Hochschule, an der das Examen bestanden wurde. Besteht eine Person mehr als ein Examen im angegebenen Kalenderjahr, so wird das zuletzt bestandene gezählt. Nicht in dieser Statistik enthalten sind Examen, die durch ausseruniversitäre Instanzen erteilt werden (z.B. höhere Lehramtspatente oder Advokatur- und Notariatsexamen - siehe online "Abschlüsse an den universitären Hochschulen; Basistabellen", </t>
    </r>
    <r>
      <rPr>
        <b/>
        <sz val="10"/>
        <color rgb="FFFF0000"/>
        <rFont val="Arial"/>
        <family val="2"/>
      </rPr>
      <t>su-d-15.03.04.04.01</t>
    </r>
    <r>
      <rPr>
        <sz val="10"/>
        <color rgb="FFFF0000"/>
        <rFont val="Arial"/>
        <family val="2"/>
      </rPr>
      <t>), sowie Examen ohne Angaben über die Personen, die sie bestanden haben.</t>
    </r>
  </si>
  <si>
    <t>Studentas e students en ils semesters d'atun</t>
  </si>
  <si>
    <t>entrada</t>
  </si>
  <si>
    <t>Tenor district d'origin</t>
  </si>
  <si>
    <t>Per milli abitants</t>
  </si>
  <si>
    <t>Populaziun</t>
  </si>
  <si>
    <t>Studenta</t>
  </si>
  <si>
    <t>Quota d'umens</t>
  </si>
  <si>
    <t>Quota da dunnas</t>
  </si>
  <si>
    <t>SA</t>
  </si>
  <si>
    <t>Region</t>
  </si>
  <si>
    <t>Regiun</t>
  </si>
  <si>
    <t>Total chantun</t>
  </si>
  <si>
    <t>Total Svizra</t>
  </si>
  <si>
    <t>1 Scienzas umanas e socialas</t>
  </si>
  <si>
    <t>2 Scienzas da l'economia</t>
  </si>
  <si>
    <t>3 Dretg</t>
  </si>
  <si>
    <t>4 Exacts + scienzas natiralas</t>
  </si>
  <si>
    <t>5 Medischina + farmazia</t>
  </si>
  <si>
    <t>6 Scienzas tecnicas</t>
  </si>
  <si>
    <t>7 Interdisciplinars + autras</t>
  </si>
  <si>
    <t>Explicaziuns per las tabellas</t>
  </si>
  <si>
    <t>Sco students valan tut las persunas immatriculadas ad ina scola auta universitara svizra (SEA) cun la pussaivladad d'absolver in examen universitar cun min. 60 ECTS (tadlar è damai exclus). Sch'ina studenta u in student è immatriculà en dapli ch'ina scola auta, vegn el dumbrà mo ina giada.</t>
  </si>
  <si>
    <t>Entrada</t>
  </si>
  <si>
    <t>Sco entradas tenor il sistem d'infurmaziun da las scolas autas en Svizra, valan tut las persunas da naziunalitad svizra u da naziunalitad estra ch'èn s'immatriculadas per l'emprima giada ad ina scola auta universitara svizra sin il stgalim da licenziat u d'in diplom u da bachelor. Recepatriculads che han studegià avant ad ina scola auta estra vegnan medemamain quintads sco entradas. HS = semester d'atun</t>
  </si>
  <si>
    <t>Examen final</t>
  </si>
  <si>
    <t>Cun l' examen final vegn mintga persuna registrada maximalmain ina giada per onn chalendar e quai a la scola auta, nua che l' examen è reussì. Sch' ina persuna è occupada dapli ch' in examen durant l' onn chalendar inditgà, vegn quai quintà sco ultim. En questa statistica n'èn betg cuntegnids examens che vegnan dad instanzas d'ordaifer (p.ex. patenta d'instrucziun pli auta u examen d'advocat e da notariat - vesair online "certificats da las scolas autas universitaras; tabella da basa", su-d-15-03-04-01) sco er examens senza indicaziuns davart las persunas ch'ellas han passà.</t>
  </si>
  <si>
    <t>Scolas autas universitaras</t>
  </si>
  <si>
    <t>Sco scolas autas universitaras valan las 10 universitads chantunalas Basilea (BS), Berna (BE), Friburg (FR), Genevra (GE), Losanna (LS), Lucerna (LU), Neuchâtel (NE), Son Gagl (SG), Svizra taliana (USI) e Turitg (ZH), las duas scolas politecnicas federalas Losanna (EPFL) e Turitg (ETH) sco er las "autras instituziuns universitaras" (studis en Svizra a distanza, IHEID).</t>
  </si>
  <si>
    <t>Sco chantun d'origin/district vala quel chantun/district, nua ch'i sa chattava il domicil legal da las studentas e dals students (tenor art. 23 e 26 CCS) il mument ch'ellas e ch'els han acquistà l'attestat dal dretg da studegiar (p.ex. matura gimnasiala). Perquai ch'il lieu da domicil sin il stgalim "furmaziun supplementara universitara" na sto betg vegnir registrà stringentamain avant il cumenzament dal studi, poi dar pitschnas inconsequenzas en las datas.</t>
  </si>
  <si>
    <t>La quota da las studentas e dals students vegn inditgada en promils da la populaziun residenta permanenta. Sco basa da calculaziun servan las datas STATPOP (stadi 31-12).</t>
  </si>
  <si>
    <t>Sco quota d'umens resp. da dunnas vala la quota procentuala dad umens (% M/H) resp. feminins (% F) dal dumber total da las studentas e dals students (total) dal territori correspundent.</t>
  </si>
  <si>
    <t>Chantun d'origin/district chantunal</t>
  </si>
  <si>
    <t>Quota da students</t>
  </si>
  <si>
    <t>Quota d'umens resp. da dunnas</t>
  </si>
  <si>
    <t>Funtauna: SHIS-UST</t>
  </si>
  <si>
    <t>Regiun Alvra</t>
  </si>
  <si>
    <t>Regione Albula</t>
  </si>
  <si>
    <t>Regiun Bernina</t>
  </si>
  <si>
    <t>Regione Bernina</t>
  </si>
  <si>
    <t>Regiun Engiadina Bassa/Val Müstair</t>
  </si>
  <si>
    <t>Regione Engiadina Bassa/Val Müstair</t>
  </si>
  <si>
    <t>Regiun Plaun</t>
  </si>
  <si>
    <t>Regione Imboden</t>
  </si>
  <si>
    <t>Regiun Landquart</t>
  </si>
  <si>
    <t>Regione Landquart</t>
  </si>
  <si>
    <t>Regiun Malögia</t>
  </si>
  <si>
    <t>Regione Maloja</t>
  </si>
  <si>
    <t>Regiun Moesa</t>
  </si>
  <si>
    <t>Regione Moesa</t>
  </si>
  <si>
    <t>Regiun Plessur</t>
  </si>
  <si>
    <t>Regione Plessur</t>
  </si>
  <si>
    <t>Regiun Partenz/Tavau</t>
  </si>
  <si>
    <t>Regione Prättigau/Davos</t>
  </si>
  <si>
    <t>Regiun Surselva</t>
  </si>
  <si>
    <t>Regione Surselva</t>
  </si>
  <si>
    <t>Regiun Viamala</t>
  </si>
  <si>
    <t>Regione Viamala</t>
  </si>
  <si>
    <t>Fonte: SHIS-UST</t>
  </si>
  <si>
    <t>1 Scienze umane e sociali</t>
  </si>
  <si>
    <t>2 Scienze umane e sociali</t>
  </si>
  <si>
    <t>3 Diritto</t>
  </si>
  <si>
    <t>4 Scienze esatte e naturali</t>
  </si>
  <si>
    <t>5 Medicina e farmacia</t>
  </si>
  <si>
    <t>6 Scienze tecniche</t>
  </si>
  <si>
    <t>7 Interdisciplinare e altre</t>
  </si>
  <si>
    <t>TOTALE</t>
  </si>
  <si>
    <t>Totale Cantone</t>
  </si>
  <si>
    <t>Totale Svizzera</t>
  </si>
  <si>
    <t>Regione</t>
  </si>
  <si>
    <t>Popolazione</t>
  </si>
  <si>
    <t>Studenti</t>
  </si>
  <si>
    <t>Per mille abitanti</t>
  </si>
  <si>
    <t>Quota di uomini</t>
  </si>
  <si>
    <t>Note esplicative alle tabelle</t>
  </si>
  <si>
    <t>Nuovi studenti</t>
  </si>
  <si>
    <t>Esami finali</t>
  </si>
  <si>
    <t>Quota di studenti</t>
  </si>
  <si>
    <t>Quota uomini e donne</t>
  </si>
  <si>
    <t>Sono considerati studenti tutti coloro che sono immatricolati in un istituto universitario svizzero (UH) e che hanno la possibilità di sostenere un esame universitario con un minimo di 60 ECTS (quindi gli studenti sono esclusi). Se uno studente è immatricolato in più di un istituto universitario, viene contato una sola volta.</t>
  </si>
  <si>
    <t>Secondo il Sistema di Informazione Universitaria Svizzero SHIS, sono ammesse tutte le persone di nazionalità svizzera o straniera che si iscrivono per la prima volta in un istituto universitario svizzero a livello di Licenza/Diploma o Bachelor. Gli studenti che hanno studiato in un istituto straniero sono anch'essi conteggiati come nuovi studenti. SA = semestre autunnale</t>
  </si>
  <si>
    <t>Ogni persona è iscritta agli esami finali al massimo una volta per anno civile presso l'istituto di istruzione superiore in cui è stata sostenuta. Se una persona supera più di un esame nell'anno civile indicato, viene contato l'ultimo esame superato. Non sono compresi in questa statistica gli esami rilasciati da organismi non universitari (ad esempio, i brevetti di insegnamento superiore o gli esami di avvocato e notariato - vedi online "Diploma universitario; tabelle di base", su-d-15.03.04.04.01), né gli esami che non riportano le persone che li hanno superati.</t>
  </si>
  <si>
    <t>Sono considerate università le dieci università cantonali di Basilea (BS), Berna (BE), Friburgo (FR), Ginevra (GE), Losanna (LS), Lucerna (LU), Neuchâtel (NE), San Gallo (SG), Svizzera italiana (USI) e Zurigo (ZH), i due politecnici federali di Losanna (EPFL) e Zurigo (ETHZ) e gli "Altri istituti universitari" (Fernstudien Schweiz, IHEID).</t>
  </si>
  <si>
    <t>Istituti di istruzione superiore</t>
  </si>
  <si>
    <t>Per cantone/distretto di provenienza si intende il cantone/distretto in cui gli studenti avevano la residenza legale (ai sensi degli art. 23 e 26 del codice civile) al momento dell'ottenimento della carta di abilitazione allo studio (ad es. Maturità ginnasiale). Poiché non è obbligatorio rilevare il luogo di residenza prima dell'inizio degli studi per l'iscrizione dei voti al livello di "formazione universitaria continua", si possono verificare lievi incoerenze nei dati.</t>
  </si>
  <si>
    <t>Cantone/distretto di origine</t>
  </si>
  <si>
    <t>La percentuale di studenti è espressa in percentuale della popolazione residente permanente. Il calcolo si basa sui dati STATPOP (situazione al 31.12.).</t>
  </si>
  <si>
    <t>La percentuale di uomini/donne corrisponde alla percentuale di studenti maschi (% U) e femmine (% D) sul totale degli studenti (totale) della regione interessata.</t>
  </si>
  <si>
    <t>Studenti nei semestri autunnali</t>
  </si>
  <si>
    <t>Secondo la regione d'origine</t>
  </si>
  <si>
    <t>2023/24</t>
  </si>
  <si>
    <t>Tertiärstufe: Studierende mit Wohnkanton Graubünden 2023-2024</t>
  </si>
  <si>
    <t>Stgalim terziar: studentas e students cun il chantun da domicil Grischun 2023-2024</t>
  </si>
  <si>
    <t>Livello terziario: studenti residenti nel Cantone dei Grigioni 2023-2024</t>
  </si>
  <si>
    <t>Studierende im Herbstsemester 2023/2024</t>
  </si>
  <si>
    <t>Studentas e students durant il semester d'atun 2023/2024</t>
  </si>
  <si>
    <t>Studenti nel semestre autunnale 2023/2024</t>
  </si>
  <si>
    <t>Ingressi nel semestre autunnale 2023/2024</t>
  </si>
  <si>
    <t>Entradas durant il semester d'atun 2023/2024</t>
  </si>
  <si>
    <t>Studierende im Herbsemester 2023/2024</t>
  </si>
  <si>
    <t>Eintritte im Herbsemester 2023/2024</t>
  </si>
  <si>
    <t>Absolvent/innen 2023</t>
  </si>
  <si>
    <t>Absolvents 2023</t>
  </si>
  <si>
    <t>Laureati 2023</t>
  </si>
  <si>
    <t>IHEID</t>
  </si>
  <si>
    <t>FS-CH</t>
  </si>
  <si>
    <t>Letztmals aktualisiert am: 01.11.2024</t>
  </si>
  <si>
    <t>Ultima actualisaziun: 01.11.2024</t>
  </si>
  <si>
    <t>Ultimo aggiornamento: 01.11.2024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</si>
</sst>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2"/>
      <name val="Arial"/>
      <family val="2"/>
    </font>
    <font>
      <sz val="14"/>
      <color rgb="FFFF0000"/>
      <name val="Arial"/>
      <family val="2"/>
    </font>
    <font>
      <b/>
      <sz val="10"/>
      <color indexed="8"/>
      <name val="Arial"/>
      <family val="2"/>
    </font>
    <font>
      <b/>
      <sz val="10"/>
      <color indexed="8"/>
      <name val="Arial Narrow"/>
      <family val="2"/>
    </font>
    <font>
      <b/>
      <sz val="10"/>
      <color theme="1"/>
      <name val="Arial"/>
      <family val="2"/>
    </font>
    <font>
      <b/>
      <u/>
      <sz val="10"/>
      <color theme="1"/>
      <name val="Arial"/>
      <family val="2"/>
    </font>
    <font>
      <b/>
      <sz val="11"/>
      <color theme="1"/>
      <name val="Calibri"/>
      <family val="2"/>
      <scheme val="minor"/>
    </font>
    <font>
      <sz val="8"/>
      <color rgb="FF000000"/>
      <name val="Segoe UI"/>
      <family val="2"/>
    </font>
    <font>
      <b/>
      <sz val="10"/>
      <color theme="0"/>
      <name val="Arial"/>
      <family val="2"/>
    </font>
    <font>
      <sz val="10"/>
      <color rgb="FFFF0000"/>
      <name val="Arial"/>
      <family val="2"/>
    </font>
    <font>
      <b/>
      <sz val="10"/>
      <color rgb="FFFF0000"/>
      <name val="Arial"/>
      <family val="2"/>
    </font>
  </fonts>
  <fills count="10">
    <fill>
      <patternFill patternType="none"/>
    </fill>
    <fill>
      <patternFill patternType="gray125"/>
    </fill>
    <fill>
      <patternFill patternType="solid">
        <fgColor rgb="FFEEECE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71">
    <xf numFmtId="0" fontId="0" fillId="0" borderId="0" xfId="0"/>
    <xf numFmtId="0" fontId="4" fillId="0" borderId="0" xfId="0" applyFont="1"/>
    <xf numFmtId="0" fontId="6" fillId="0" borderId="0" xfId="0" applyFont="1" applyFill="1"/>
    <xf numFmtId="0" fontId="6" fillId="0" borderId="0" xfId="0" applyFont="1" applyFill="1" applyBorder="1"/>
    <xf numFmtId="0" fontId="8" fillId="0" borderId="0" xfId="0" applyNumberFormat="1" applyFont="1" applyFill="1" applyBorder="1" applyAlignment="1" applyProtection="1">
      <alignment horizontal="left" vertical="top"/>
    </xf>
    <xf numFmtId="0" fontId="9" fillId="0" borderId="0" xfId="0" applyNumberFormat="1" applyFont="1" applyFill="1" applyBorder="1" applyAlignment="1" applyProtection="1">
      <alignment horizontal="left" vertical="center"/>
    </xf>
    <xf numFmtId="164" fontId="9" fillId="0" borderId="0" xfId="1" applyNumberFormat="1" applyFont="1" applyFill="1" applyBorder="1" applyAlignment="1" applyProtection="1">
      <alignment horizontal="left" vertical="center"/>
    </xf>
    <xf numFmtId="164" fontId="9" fillId="0" borderId="0" xfId="1"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left" vertical="top"/>
    </xf>
    <xf numFmtId="0" fontId="11" fillId="0" borderId="0" xfId="0" applyFont="1"/>
    <xf numFmtId="0" fontId="4" fillId="0" borderId="3" xfId="0" applyFont="1" applyBorder="1"/>
    <xf numFmtId="0" fontId="4" fillId="0" borderId="4" xfId="0" applyFont="1" applyBorder="1"/>
    <xf numFmtId="3" fontId="4" fillId="0" borderId="3" xfId="0" applyNumberFormat="1" applyFont="1" applyBorder="1"/>
    <xf numFmtId="3" fontId="4" fillId="0" borderId="4" xfId="0" applyNumberFormat="1" applyFont="1" applyBorder="1"/>
    <xf numFmtId="0" fontId="4" fillId="0" borderId="3" xfId="0" applyNumberFormat="1" applyFont="1" applyBorder="1"/>
    <xf numFmtId="0" fontId="4" fillId="0" borderId="4" xfId="0" applyNumberFormat="1" applyFont="1" applyBorder="1"/>
    <xf numFmtId="0" fontId="4" fillId="0" borderId="6" xfId="0" applyFont="1" applyBorder="1"/>
    <xf numFmtId="0" fontId="3" fillId="0" borderId="0" xfId="0" applyFont="1" applyBorder="1"/>
    <xf numFmtId="3" fontId="3" fillId="0" borderId="0" xfId="0" applyNumberFormat="1" applyFont="1" applyBorder="1"/>
    <xf numFmtId="0" fontId="3" fillId="0" borderId="0" xfId="0" applyFont="1" applyBorder="1" applyAlignment="1">
      <alignment horizontal="left" vertical="top"/>
    </xf>
    <xf numFmtId="0" fontId="0" fillId="0" borderId="0" xfId="0" applyFont="1" applyBorder="1" applyAlignment="1">
      <alignment horizontal="left" vertical="top"/>
    </xf>
    <xf numFmtId="0" fontId="2" fillId="0" borderId="1" xfId="0" applyFont="1" applyBorder="1"/>
    <xf numFmtId="0" fontId="3" fillId="0" borderId="0" xfId="0" applyFont="1" applyBorder="1" applyAlignment="1"/>
    <xf numFmtId="3" fontId="3" fillId="0" borderId="0" xfId="0" applyNumberFormat="1" applyFont="1" applyBorder="1" applyAlignment="1"/>
    <xf numFmtId="0" fontId="11" fillId="0" borderId="0" xfId="0" applyFont="1" applyBorder="1"/>
    <xf numFmtId="0" fontId="11" fillId="0" borderId="1" xfId="0" applyFont="1" applyBorder="1"/>
    <xf numFmtId="0" fontId="2" fillId="0" borderId="1" xfId="0" applyFont="1" applyBorder="1" applyAlignment="1">
      <alignment wrapText="1"/>
    </xf>
    <xf numFmtId="0" fontId="2" fillId="0" borderId="0" xfId="0" applyFont="1"/>
    <xf numFmtId="0" fontId="1" fillId="0" borderId="0" xfId="0" applyFont="1" applyBorder="1" applyAlignment="1">
      <alignment horizontal="left" vertical="top" wrapText="1"/>
    </xf>
    <xf numFmtId="0" fontId="6" fillId="3" borderId="0" xfId="0" applyFont="1" applyFill="1"/>
    <xf numFmtId="0" fontId="7" fillId="3" borderId="0" xfId="0" applyFont="1" applyFill="1"/>
    <xf numFmtId="0" fontId="0" fillId="3" borderId="0" xfId="0" applyFill="1"/>
    <xf numFmtId="0" fontId="15" fillId="4" borderId="0" xfId="0" applyFont="1" applyFill="1" applyBorder="1" applyAlignment="1">
      <alignment horizontal="left" vertical="top" wrapText="1"/>
    </xf>
    <xf numFmtId="0" fontId="1"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 fillId="5" borderId="0" xfId="0" applyFont="1" applyFill="1" applyBorder="1" applyAlignment="1" applyProtection="1">
      <alignment horizontal="left" vertical="top" wrapText="1"/>
      <protection locked="0"/>
    </xf>
    <xf numFmtId="0" fontId="6" fillId="0" borderId="0" xfId="0" applyFont="1" applyBorder="1" applyAlignment="1">
      <alignment horizontal="left" vertical="top" wrapText="1"/>
    </xf>
    <xf numFmtId="0" fontId="1"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Font="1" applyBorder="1" applyAlignment="1">
      <alignment horizontal="left" vertical="top" wrapText="1"/>
    </xf>
    <xf numFmtId="0" fontId="17" fillId="5" borderId="0" xfId="0" applyFont="1" applyFill="1" applyBorder="1" applyAlignment="1">
      <alignment horizontal="left" vertical="top" wrapText="1"/>
    </xf>
    <xf numFmtId="0" fontId="16" fillId="5" borderId="0" xfId="0" applyFont="1" applyFill="1" applyBorder="1" applyAlignment="1">
      <alignment horizontal="left" vertical="top" wrapText="1"/>
    </xf>
    <xf numFmtId="0" fontId="16" fillId="6" borderId="0" xfId="0" applyFont="1" applyFill="1" applyBorder="1" applyAlignment="1">
      <alignment horizontal="left" vertical="center" wrapText="1"/>
    </xf>
    <xf numFmtId="0" fontId="1" fillId="7" borderId="0" xfId="0" applyFont="1" applyFill="1" applyBorder="1" applyAlignment="1">
      <alignment horizontal="left" vertical="top" wrapText="1"/>
    </xf>
    <xf numFmtId="0" fontId="16" fillId="7" borderId="0" xfId="0" applyFont="1" applyFill="1" applyBorder="1" applyAlignment="1">
      <alignment wrapText="1"/>
    </xf>
    <xf numFmtId="0" fontId="1" fillId="0" borderId="1" xfId="0" applyFont="1" applyBorder="1"/>
    <xf numFmtId="0" fontId="1" fillId="0" borderId="0" xfId="0" applyFont="1"/>
    <xf numFmtId="0" fontId="16" fillId="7" borderId="0" xfId="0" applyFont="1" applyFill="1" applyBorder="1" applyAlignment="1">
      <alignment horizontal="left" vertical="top" wrapText="1"/>
    </xf>
    <xf numFmtId="0" fontId="12" fillId="0" borderId="0" xfId="0" applyFont="1" applyBorder="1"/>
    <xf numFmtId="0" fontId="4" fillId="0" borderId="6" xfId="0" applyNumberFormat="1" applyFont="1" applyBorder="1"/>
    <xf numFmtId="0" fontId="9" fillId="2" borderId="1" xfId="0" applyFont="1" applyFill="1" applyBorder="1" applyAlignment="1">
      <alignment vertical="center"/>
    </xf>
    <xf numFmtId="0" fontId="4" fillId="8" borderId="5" xfId="0" applyFont="1" applyFill="1" applyBorder="1"/>
    <xf numFmtId="0" fontId="4" fillId="8" borderId="5" xfId="0" applyNumberFormat="1" applyFont="1" applyFill="1" applyBorder="1"/>
    <xf numFmtId="3" fontId="4" fillId="8" borderId="5" xfId="0" applyNumberFormat="1" applyFont="1" applyFill="1" applyBorder="1"/>
    <xf numFmtId="0" fontId="11" fillId="2" borderId="2" xfId="0" applyFont="1" applyFill="1" applyBorder="1"/>
    <xf numFmtId="3" fontId="4" fillId="9" borderId="3" xfId="0" applyNumberFormat="1" applyFont="1" applyFill="1" applyBorder="1"/>
    <xf numFmtId="0" fontId="9" fillId="2" borderId="1" xfId="0" applyFont="1" applyFill="1" applyBorder="1" applyAlignment="1">
      <alignment horizontal="right" vertical="center"/>
    </xf>
    <xf numFmtId="0" fontId="7" fillId="0" borderId="0" xfId="0" applyFont="1" applyFill="1" applyBorder="1" applyAlignment="1">
      <alignment horizontal="left" vertical="top" wrapText="1"/>
    </xf>
    <xf numFmtId="0" fontId="4" fillId="0" borderId="1" xfId="0" applyFont="1" applyBorder="1" applyAlignment="1">
      <alignment horizontal="left" vertical="top"/>
    </xf>
    <xf numFmtId="0" fontId="11" fillId="2" borderId="7" xfId="0" applyFont="1" applyFill="1" applyBorder="1" applyAlignment="1"/>
    <xf numFmtId="0" fontId="13" fillId="2" borderId="8" xfId="0" applyFont="1" applyFill="1" applyBorder="1" applyAlignment="1"/>
    <xf numFmtId="0" fontId="13" fillId="2" borderId="9" xfId="0" applyFont="1" applyFill="1" applyBorder="1" applyAlignment="1"/>
    <xf numFmtId="0" fontId="7" fillId="0" borderId="0" xfId="0" applyFont="1" applyFill="1" applyBorder="1" applyAlignment="1">
      <alignment horizontal="left" vertical="top" wrapText="1"/>
    </xf>
    <xf numFmtId="0" fontId="3" fillId="0" borderId="0" xfId="0" applyFont="1" applyBorder="1" applyAlignment="1">
      <alignment horizontal="left" vertical="top"/>
    </xf>
    <xf numFmtId="0" fontId="0" fillId="0" borderId="0" xfId="0" applyFont="1" applyBorder="1" applyAlignment="1">
      <alignment horizontal="left" vertical="top"/>
    </xf>
    <xf numFmtId="0" fontId="1" fillId="0" borderId="0" xfId="0" applyFont="1" applyBorder="1" applyAlignment="1">
      <alignment horizontal="left" vertical="top" wrapText="1"/>
    </xf>
    <xf numFmtId="0" fontId="0" fillId="0" borderId="0" xfId="0" applyAlignment="1">
      <alignment wrapText="1"/>
    </xf>
    <xf numFmtId="0" fontId="4" fillId="0" borderId="6" xfId="0" applyNumberFormat="1" applyFont="1" applyBorder="1" applyAlignment="1">
      <alignment horizontal="right"/>
    </xf>
    <xf numFmtId="0" fontId="4" fillId="0" borderId="4" xfId="0" applyNumberFormat="1" applyFont="1" applyBorder="1" applyAlignment="1">
      <alignment horizontal="right"/>
    </xf>
    <xf numFmtId="0" fontId="4" fillId="8" borderId="5" xfId="0" applyNumberFormat="1" applyFont="1" applyFill="1" applyBorder="1" applyAlignment="1">
      <alignment horizontal="right"/>
    </xf>
    <xf numFmtId="3" fontId="4" fillId="9" borderId="1" xfId="0" applyNumberFormat="1" applyFont="1" applyFill="1" applyBorder="1"/>
  </cellXfs>
  <cellStyles count="2">
    <cellStyle name="Komma" xfId="1" builtinId="3"/>
    <cellStyle name="Standard" xfId="0" builtinId="0"/>
  </cellStyles>
  <dxfs count="0"/>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Uebersetzungen!$B$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530225</xdr:colOff>
      <xdr:row>5</xdr:row>
      <xdr:rowOff>23252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4</xdr:col>
      <xdr:colOff>552450</xdr:colOff>
      <xdr:row>0</xdr:row>
      <xdr:rowOff>28575</xdr:rowOff>
    </xdr:from>
    <xdr:to>
      <xdr:col>7</xdr:col>
      <xdr:colOff>581639</xdr:colOff>
      <xdr:row>4</xdr:row>
      <xdr:rowOff>155048</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4991100" y="28575"/>
          <a:ext cx="2372339"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w="2857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549275</xdr:colOff>
      <xdr:row>5</xdr:row>
      <xdr:rowOff>51827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5</xdr:col>
      <xdr:colOff>571499</xdr:colOff>
      <xdr:row>0</xdr:row>
      <xdr:rowOff>28575</xdr:rowOff>
    </xdr:from>
    <xdr:to>
      <xdr:col>9</xdr:col>
      <xdr:colOff>514350</xdr:colOff>
      <xdr:row>5</xdr:row>
      <xdr:rowOff>19050</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4991099" y="28575"/>
          <a:ext cx="2381251" cy="885825"/>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w="2857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549275</xdr:colOff>
      <xdr:row>5</xdr:row>
      <xdr:rowOff>23252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5</xdr:col>
      <xdr:colOff>561974</xdr:colOff>
      <xdr:row>0</xdr:row>
      <xdr:rowOff>28575</xdr:rowOff>
    </xdr:from>
    <xdr:to>
      <xdr:col>9</xdr:col>
      <xdr:colOff>495974</xdr:colOff>
      <xdr:row>4</xdr:row>
      <xdr:rowOff>155048</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4981574" y="28575"/>
          <a:ext cx="237240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w="2857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4"/>
  <sheetViews>
    <sheetView showGridLines="0" tabSelected="1" zoomScaleNormal="100" workbookViewId="0"/>
  </sheetViews>
  <sheetFormatPr baseColWidth="10" defaultColWidth="9.140625" defaultRowHeight="12.75" x14ac:dyDescent="0.2"/>
  <cols>
    <col min="1" max="1" width="31.42578125" style="1" customWidth="1"/>
    <col min="2" max="12" width="11.7109375" style="1" customWidth="1"/>
    <col min="13" max="16384" width="9.140625" style="1"/>
  </cols>
  <sheetData>
    <row r="1" spans="1:12" s="29" customFormat="1" x14ac:dyDescent="0.2"/>
    <row r="2" spans="1:12" s="29" customFormat="1" ht="15.75" x14ac:dyDescent="0.25">
      <c r="B2" s="30"/>
      <c r="C2" s="31"/>
      <c r="D2" s="31"/>
    </row>
    <row r="3" spans="1:12" s="29" customFormat="1" ht="15.75" x14ac:dyDescent="0.25">
      <c r="B3" s="30"/>
      <c r="C3" s="31"/>
      <c r="D3" s="31"/>
    </row>
    <row r="4" spans="1:12" s="29" customFormat="1" ht="15.75" x14ac:dyDescent="0.25">
      <c r="B4" s="30"/>
      <c r="C4" s="31"/>
      <c r="D4" s="31"/>
    </row>
    <row r="5" spans="1:12" s="29" customFormat="1" x14ac:dyDescent="0.2"/>
    <row r="6" spans="1:12" s="29" customFormat="1" x14ac:dyDescent="0.2"/>
    <row r="7" spans="1:12" s="3" customFormat="1" ht="15.75" customHeight="1" x14ac:dyDescent="0.2">
      <c r="A7" s="62" t="str">
        <f>VLOOKUP("&lt;Fachbereich&gt;",Uebersetzungen!$B$3:$E$85,Uebersetzungen!$B$2+1,FALSE)</f>
        <v>Daten &amp; Statistik</v>
      </c>
      <c r="B7" s="62"/>
    </row>
    <row r="8" spans="1:12" s="2" customFormat="1" x14ac:dyDescent="0.2"/>
    <row r="9" spans="1:12" s="8" customFormat="1" ht="18" x14ac:dyDescent="0.25">
      <c r="A9" s="4" t="str">
        <f>VLOOKUP("&lt;Titel&gt;",Uebersetzungen!$B$3:$E$85,Uebersetzungen!$B$2+1,FALSE)</f>
        <v>Tertiärstufe: Studierende mit Wohnkanton Graubünden 2023-2024</v>
      </c>
      <c r="B9" s="5"/>
      <c r="C9" s="6"/>
      <c r="D9" s="6"/>
      <c r="E9" s="6"/>
      <c r="F9" s="6"/>
      <c r="G9" s="6"/>
      <c r="H9" s="6"/>
      <c r="I9" s="7"/>
    </row>
    <row r="11" spans="1:12" x14ac:dyDescent="0.2">
      <c r="A11" s="9" t="str">
        <f>VLOOKUP("&lt;UTitel1&gt;",Uebersetzungen!$B$3:$E$85,Uebersetzungen!$B$2+1,FALSE)</f>
        <v>Studierende in den Herbsemestern</v>
      </c>
    </row>
    <row r="12" spans="1:12" x14ac:dyDescent="0.2">
      <c r="A12" s="9" t="str">
        <f>VLOOKUP("&lt;Zeilentitel_1&gt;",Uebersetzungen!$B$3:$E$85,Uebersetzungen!$B$2+1,FALSE)</f>
        <v>HS</v>
      </c>
      <c r="B12" s="56" t="s">
        <v>2</v>
      </c>
      <c r="C12" s="56" t="s">
        <v>3</v>
      </c>
      <c r="D12" s="56" t="s">
        <v>4</v>
      </c>
      <c r="E12" s="56" t="s">
        <v>5</v>
      </c>
      <c r="F12" s="56" t="s">
        <v>6</v>
      </c>
      <c r="G12" s="56" t="s">
        <v>7</v>
      </c>
      <c r="H12" s="56" t="s">
        <v>8</v>
      </c>
      <c r="I12" s="56" t="s">
        <v>9</v>
      </c>
      <c r="J12" s="56" t="s">
        <v>10</v>
      </c>
      <c r="K12" s="56" t="s">
        <v>63</v>
      </c>
      <c r="L12" s="56" t="s">
        <v>247</v>
      </c>
    </row>
    <row r="13" spans="1:12" x14ac:dyDescent="0.2">
      <c r="A13" s="10" t="str">
        <f>VLOOKUP("&lt;Zeilentitel_2&gt;",Uebersetzungen!$B$3:$E$85,Uebersetzungen!$B$2+1,FALSE)</f>
        <v>Männer</v>
      </c>
      <c r="B13" s="49">
        <v>1187</v>
      </c>
      <c r="C13" s="49">
        <v>1201</v>
      </c>
      <c r="D13" s="49">
        <v>1171</v>
      </c>
      <c r="E13" s="49">
        <v>1118</v>
      </c>
      <c r="F13" s="49">
        <v>1079</v>
      </c>
      <c r="G13" s="49">
        <v>1063</v>
      </c>
      <c r="H13" s="49">
        <v>1048</v>
      </c>
      <c r="I13" s="49">
        <v>1090</v>
      </c>
      <c r="J13" s="49">
        <v>1099</v>
      </c>
      <c r="K13" s="49">
        <v>1071</v>
      </c>
      <c r="L13" s="67">
        <v>1061</v>
      </c>
    </row>
    <row r="14" spans="1:12" x14ac:dyDescent="0.2">
      <c r="A14" s="11" t="str">
        <f>VLOOKUP("&lt;Zeilentitel_3&gt;",Uebersetzungen!$B$3:$E$85,Uebersetzungen!$B$2+1,FALSE)</f>
        <v>Frauen</v>
      </c>
      <c r="B14" s="15">
        <v>1142</v>
      </c>
      <c r="C14" s="15">
        <v>1087</v>
      </c>
      <c r="D14" s="15">
        <v>1074</v>
      </c>
      <c r="E14" s="15">
        <v>1048</v>
      </c>
      <c r="F14" s="15">
        <v>1061</v>
      </c>
      <c r="G14" s="15">
        <v>1079</v>
      </c>
      <c r="H14" s="15">
        <v>1082</v>
      </c>
      <c r="I14" s="15">
        <v>1118</v>
      </c>
      <c r="J14" s="15">
        <v>1135</v>
      </c>
      <c r="K14" s="15">
        <v>1112</v>
      </c>
      <c r="L14" s="68">
        <v>1078</v>
      </c>
    </row>
    <row r="15" spans="1:12" x14ac:dyDescent="0.2">
      <c r="A15" s="51" t="str">
        <f>VLOOKUP("&lt;Zeilentitel_4&gt;",Uebersetzungen!$B$3:$E$85,Uebersetzungen!$B$2+1,FALSE)</f>
        <v xml:space="preserve">Total </v>
      </c>
      <c r="B15" s="52">
        <v>2329</v>
      </c>
      <c r="C15" s="52">
        <v>2288</v>
      </c>
      <c r="D15" s="52">
        <v>2245</v>
      </c>
      <c r="E15" s="52">
        <v>2166</v>
      </c>
      <c r="F15" s="52">
        <v>2140</v>
      </c>
      <c r="G15" s="52">
        <v>2142</v>
      </c>
      <c r="H15" s="52">
        <v>2130</v>
      </c>
      <c r="I15" s="52">
        <v>2208</v>
      </c>
      <c r="J15" s="52">
        <v>2234</v>
      </c>
      <c r="K15" s="52">
        <v>2183</v>
      </c>
      <c r="L15" s="69">
        <v>2139</v>
      </c>
    </row>
    <row r="18" spans="1:12" x14ac:dyDescent="0.2">
      <c r="A18" s="9" t="str">
        <f>VLOOKUP("&lt;UTitel2&gt;",Uebersetzungen!$B$3:$E$85,Uebersetzungen!$B$2+1,FALSE)</f>
        <v>Eintritte</v>
      </c>
    </row>
    <row r="19" spans="1:12" x14ac:dyDescent="0.2">
      <c r="A19" s="1" t="s">
        <v>15</v>
      </c>
      <c r="B19" s="50">
        <v>2013</v>
      </c>
      <c r="C19" s="50">
        <v>2014</v>
      </c>
      <c r="D19" s="50">
        <v>2015</v>
      </c>
      <c r="E19" s="50">
        <v>2016</v>
      </c>
      <c r="F19" s="50">
        <v>2017</v>
      </c>
      <c r="G19" s="50">
        <v>2018</v>
      </c>
      <c r="H19" s="50">
        <v>2019</v>
      </c>
      <c r="I19" s="50">
        <v>2020</v>
      </c>
      <c r="J19" s="50">
        <v>2021</v>
      </c>
      <c r="K19" s="50">
        <v>2022</v>
      </c>
      <c r="L19" s="56">
        <v>2023</v>
      </c>
    </row>
    <row r="20" spans="1:12" x14ac:dyDescent="0.2">
      <c r="A20" s="10" t="str">
        <f>VLOOKUP("&lt;Zeilentitel_2&gt;",Uebersetzungen!$B$3:$E$85,Uebersetzungen!$B$2+1,FALSE)</f>
        <v>Männer</v>
      </c>
      <c r="B20" s="14">
        <v>159</v>
      </c>
      <c r="C20" s="14">
        <v>176</v>
      </c>
      <c r="D20" s="14">
        <v>154</v>
      </c>
      <c r="E20" s="14">
        <v>150</v>
      </c>
      <c r="F20" s="14">
        <v>128</v>
      </c>
      <c r="G20" s="14">
        <v>148</v>
      </c>
      <c r="H20" s="14">
        <v>121</v>
      </c>
      <c r="I20" s="14">
        <v>179</v>
      </c>
      <c r="J20" s="14">
        <v>147</v>
      </c>
      <c r="K20" s="14">
        <v>123</v>
      </c>
      <c r="L20" s="49">
        <v>125</v>
      </c>
    </row>
    <row r="21" spans="1:12" x14ac:dyDescent="0.2">
      <c r="A21" s="11" t="str">
        <f>VLOOKUP("&lt;Zeilentitel_3&gt;",Uebersetzungen!$B$3:$E$85,Uebersetzungen!$B$2+1,FALSE)</f>
        <v>Frauen</v>
      </c>
      <c r="B21" s="15">
        <v>169</v>
      </c>
      <c r="C21" s="15">
        <v>141</v>
      </c>
      <c r="D21" s="15">
        <v>154</v>
      </c>
      <c r="E21" s="15">
        <v>139</v>
      </c>
      <c r="F21" s="15">
        <v>167</v>
      </c>
      <c r="G21" s="15">
        <v>174</v>
      </c>
      <c r="H21" s="15">
        <v>151</v>
      </c>
      <c r="I21" s="15">
        <v>175</v>
      </c>
      <c r="J21" s="15">
        <v>169</v>
      </c>
      <c r="K21" s="15">
        <v>151</v>
      </c>
      <c r="L21" s="15">
        <v>128</v>
      </c>
    </row>
    <row r="22" spans="1:12" x14ac:dyDescent="0.2">
      <c r="A22" s="51" t="str">
        <f>VLOOKUP("&lt;Zeilentitel_4&gt;",Uebersetzungen!$B$3:$E$85,Uebersetzungen!$B$2+1,FALSE)</f>
        <v xml:space="preserve">Total </v>
      </c>
      <c r="B22" s="52">
        <v>328</v>
      </c>
      <c r="C22" s="52">
        <v>317</v>
      </c>
      <c r="D22" s="52">
        <v>308</v>
      </c>
      <c r="E22" s="52">
        <v>289</v>
      </c>
      <c r="F22" s="52">
        <v>295</v>
      </c>
      <c r="G22" s="52">
        <v>322</v>
      </c>
      <c r="H22" s="52">
        <v>272</v>
      </c>
      <c r="I22" s="52">
        <v>354</v>
      </c>
      <c r="J22" s="52">
        <v>316</v>
      </c>
      <c r="K22" s="52">
        <v>274</v>
      </c>
      <c r="L22" s="52">
        <v>253</v>
      </c>
    </row>
    <row r="25" spans="1:12" x14ac:dyDescent="0.2">
      <c r="A25" s="9" t="str">
        <f>VLOOKUP("&lt;UTitel3&gt;",Uebersetzungen!$B$3:$E$85,Uebersetzungen!$B$2+1,FALSE)</f>
        <v>Studierende im Herbstsemester 2023/2024</v>
      </c>
    </row>
    <row r="26" spans="1:12" x14ac:dyDescent="0.2">
      <c r="A26" s="46" t="str">
        <f>VLOOKUP("&lt;UTitel3.1&gt;",Uebersetzungen!$B$3:$E$85,Uebersetzungen!$B$2+1,FALSE)</f>
        <v>Nach Herkunftsbezirk</v>
      </c>
    </row>
    <row r="27" spans="1:12" ht="15" x14ac:dyDescent="0.25">
      <c r="B27" s="59" t="str">
        <f>VLOOKUP("&lt;Spaltentitel_1&gt;",Uebersetzungen!$B$3:$E$85,Uebersetzungen!$B$2+1,FALSE)</f>
        <v>Total</v>
      </c>
      <c r="C27" s="60"/>
      <c r="D27" s="61"/>
      <c r="E27" s="59" t="str">
        <f>VLOOKUP("&lt;Spaltentitel_2&gt;",Uebersetzungen!$B$3:$E$85,Uebersetzungen!$B$2+1,FALSE)</f>
        <v>Männer</v>
      </c>
      <c r="F27" s="60"/>
      <c r="G27" s="60"/>
      <c r="H27" s="61"/>
      <c r="I27" s="59" t="str">
        <f>VLOOKUP("&lt;Spaltentitel_3&gt;",Uebersetzungen!$B$3:$E$85,Uebersetzungen!$B$2+1,FALSE)</f>
        <v>Frauen</v>
      </c>
      <c r="J27" s="60"/>
      <c r="K27" s="60"/>
      <c r="L27" s="61"/>
    </row>
    <row r="28" spans="1:12" ht="24" customHeight="1" x14ac:dyDescent="0.2">
      <c r="A28" s="25" t="str">
        <f>VLOOKUP("&lt;Zeilentitel_5&gt;",Uebersetzungen!$B$3:$E$85,Uebersetzungen!$B$2+1,FALSE)</f>
        <v>Region</v>
      </c>
      <c r="B28" s="21" t="str">
        <f>VLOOKUP("&lt;Spaltentitel_1.1&gt;",Uebersetzungen!$B$3:$E$85,Uebersetzungen!$B$2+1,FALSE)</f>
        <v>Bevölkerung</v>
      </c>
      <c r="C28" s="21" t="str">
        <f>VLOOKUP("&lt;Spaltentitel_1.2&gt;",Uebersetzungen!$B$3:$E$85,Uebersetzungen!$B$2+1,FALSE)</f>
        <v>Studierende</v>
      </c>
      <c r="D28" s="26" t="str">
        <f>VLOOKUP("&lt;Spaltentitel_1.3&gt;",Uebersetzungen!$B$3:$E$85,Uebersetzungen!$B$2+1,FALSE)</f>
        <v>Pro Tausend Einwohner</v>
      </c>
      <c r="E28" s="21" t="str">
        <f>VLOOKUP("&lt;Spaltentitel_2.1&gt;",Uebersetzungen!$B$3:$E$85,Uebersetzungen!$B$2+1,FALSE)</f>
        <v>Bevölkerung</v>
      </c>
      <c r="F28" s="21" t="str">
        <f>VLOOKUP("&lt;Spaltentitel_2.2&gt;",Uebersetzungen!$B$3:$E$85,Uebersetzungen!$B$2+1,FALSE)</f>
        <v>Studierende</v>
      </c>
      <c r="G28" s="26" t="str">
        <f>VLOOKUP("&lt;Spaltentitel_2.3&gt;",Uebersetzungen!$B$3:$E$85,Uebersetzungen!$B$2+1,FALSE)</f>
        <v>Pro Tausend Einwohner</v>
      </c>
      <c r="H28" s="21" t="str">
        <f>VLOOKUP("&lt;Spaltentitel_2.4&gt;",Uebersetzungen!$B$3:$E$85,Uebersetzungen!$B$2+1,FALSE)</f>
        <v>Männeranteil</v>
      </c>
      <c r="I28" s="45" t="str">
        <f>VLOOKUP("&lt;Spaltentitel_3.1&gt;",Uebersetzungen!$B$3:$E$85,Uebersetzungen!$B$2+1,FALSE)</f>
        <v>Bevölkerung</v>
      </c>
      <c r="J28" s="21" t="str">
        <f>VLOOKUP("&lt;Spaltentitel_3.2&gt;",Uebersetzungen!$B$3:$E$85,Uebersetzungen!$B$2+1,FALSE)</f>
        <v>Studierende</v>
      </c>
      <c r="K28" s="26" t="str">
        <f>VLOOKUP("&lt;Spaltentitel_3.3&gt;",Uebersetzungen!$B$3:$E$85,Uebersetzungen!$B$2+1,FALSE)</f>
        <v>Pro Tausend Einwohner</v>
      </c>
      <c r="L28" s="21" t="str">
        <f>VLOOKUP("&lt;Spaltentitel_3.4&gt;",Uebersetzungen!$B$3:$E$85,Uebersetzungen!$B$2+1,FALSE)</f>
        <v>Frauenanteil</v>
      </c>
    </row>
    <row r="29" spans="1:12" x14ac:dyDescent="0.2">
      <c r="A29" s="16" t="str">
        <f>VLOOKUP("&lt;Zeilentitel_6&gt;",Uebersetzungen!$B$3:$E$85,Uebersetzungen!$B$2+1,FALSE)</f>
        <v>Region Albula</v>
      </c>
      <c r="B29" s="12">
        <v>8117</v>
      </c>
      <c r="C29" s="12">
        <v>58</v>
      </c>
      <c r="D29" s="12">
        <v>7.1454971048416906</v>
      </c>
      <c r="E29" s="12">
        <v>4155</v>
      </c>
      <c r="F29" s="12">
        <v>30</v>
      </c>
      <c r="G29" s="12">
        <v>7.2202166064981954</v>
      </c>
      <c r="H29" s="12">
        <v>51.724137931034477</v>
      </c>
      <c r="I29" s="12">
        <v>3962</v>
      </c>
      <c r="J29" s="12">
        <v>28</v>
      </c>
      <c r="K29" s="12">
        <v>7.0671378091872787</v>
      </c>
      <c r="L29" s="12">
        <v>48.275862068965523</v>
      </c>
    </row>
    <row r="30" spans="1:12" x14ac:dyDescent="0.2">
      <c r="A30" s="16" t="str">
        <f>VLOOKUP("&lt;Zeilentitel_7&gt;",Uebersetzungen!$B$3:$E$85,Uebersetzungen!$B$2+1,FALSE)</f>
        <v>Region Bernina</v>
      </c>
      <c r="B30" s="13">
        <v>4630</v>
      </c>
      <c r="C30" s="13">
        <v>37</v>
      </c>
      <c r="D30" s="13">
        <v>7.9913606911447088</v>
      </c>
      <c r="E30" s="13">
        <v>2306</v>
      </c>
      <c r="F30" s="13">
        <v>19</v>
      </c>
      <c r="G30" s="13">
        <v>8.239375542064181</v>
      </c>
      <c r="H30" s="13">
        <v>51.351351351351347</v>
      </c>
      <c r="I30" s="13">
        <v>2324</v>
      </c>
      <c r="J30" s="13">
        <v>18</v>
      </c>
      <c r="K30" s="13">
        <v>7.7452667814113596</v>
      </c>
      <c r="L30" s="13">
        <v>48.648648648648653</v>
      </c>
    </row>
    <row r="31" spans="1:12" x14ac:dyDescent="0.2">
      <c r="A31" s="16" t="str">
        <f>VLOOKUP("&lt;Zeilentitel_8&gt;",Uebersetzungen!$B$3:$E$85,Uebersetzungen!$B$2+1,FALSE)</f>
        <v>Region Engiadina Bassa/Val Müstair</v>
      </c>
      <c r="B31" s="13">
        <v>9139</v>
      </c>
      <c r="C31" s="13">
        <v>79</v>
      </c>
      <c r="D31" s="13">
        <v>8.6442718021665392</v>
      </c>
      <c r="E31" s="13">
        <v>4565</v>
      </c>
      <c r="F31" s="13">
        <v>42</v>
      </c>
      <c r="G31" s="13">
        <v>9.2004381161007665</v>
      </c>
      <c r="H31" s="13">
        <v>53.164556962025323</v>
      </c>
      <c r="I31" s="13">
        <v>4574</v>
      </c>
      <c r="J31" s="13">
        <v>37</v>
      </c>
      <c r="K31" s="13">
        <v>8.0891998250983814</v>
      </c>
      <c r="L31" s="13">
        <v>46.835443037974677</v>
      </c>
    </row>
    <row r="32" spans="1:12" x14ac:dyDescent="0.2">
      <c r="A32" s="16" t="str">
        <f>VLOOKUP("&lt;Zeilentitel_9&gt;",Uebersetzungen!$B$3:$E$85,Uebersetzungen!$B$2+1,FALSE)</f>
        <v>Region Imboden</v>
      </c>
      <c r="B32" s="13">
        <v>21964</v>
      </c>
      <c r="C32" s="13">
        <v>221</v>
      </c>
      <c r="D32" s="13">
        <v>10.06191950464396</v>
      </c>
      <c r="E32" s="13">
        <v>11044</v>
      </c>
      <c r="F32" s="13">
        <v>87</v>
      </c>
      <c r="G32" s="13">
        <v>7.8775805867439326</v>
      </c>
      <c r="H32" s="13">
        <v>39.366515837104068</v>
      </c>
      <c r="I32" s="13">
        <v>10920</v>
      </c>
      <c r="J32" s="13">
        <v>134</v>
      </c>
      <c r="K32" s="13">
        <v>12.27106227106227</v>
      </c>
      <c r="L32" s="13">
        <v>60.633484162895932</v>
      </c>
    </row>
    <row r="33" spans="1:12" x14ac:dyDescent="0.2">
      <c r="A33" s="16" t="str">
        <f>VLOOKUP("&lt;Zeilentitel_10&gt;",Uebersetzungen!$B$3:$E$85,Uebersetzungen!$B$2+1,FALSE)</f>
        <v>Region Landquart</v>
      </c>
      <c r="B33" s="13">
        <v>26354</v>
      </c>
      <c r="C33" s="13">
        <v>273</v>
      </c>
      <c r="D33" s="13">
        <v>10.35895879183426</v>
      </c>
      <c r="E33" s="13">
        <v>13246</v>
      </c>
      <c r="F33" s="13">
        <v>136</v>
      </c>
      <c r="G33" s="13">
        <v>10.267250490714179</v>
      </c>
      <c r="H33" s="13">
        <v>49.816849816849818</v>
      </c>
      <c r="I33" s="13">
        <v>13108</v>
      </c>
      <c r="J33" s="13">
        <v>137</v>
      </c>
      <c r="K33" s="13">
        <v>10.45163259078425</v>
      </c>
      <c r="L33" s="13">
        <v>50.183150183150182</v>
      </c>
    </row>
    <row r="34" spans="1:12" x14ac:dyDescent="0.2">
      <c r="A34" s="16" t="str">
        <f>VLOOKUP("&lt;Zeilentitel_11&gt;",Uebersetzungen!$B$3:$E$85,Uebersetzungen!$B$2+1,FALSE)</f>
        <v>Region Maloja</v>
      </c>
      <c r="B34" s="13">
        <v>18162</v>
      </c>
      <c r="C34" s="13">
        <v>218</v>
      </c>
      <c r="D34" s="13">
        <v>12.003083360863339</v>
      </c>
      <c r="E34" s="13">
        <v>9072</v>
      </c>
      <c r="F34" s="13">
        <v>109</v>
      </c>
      <c r="G34" s="13">
        <v>12.01499118165785</v>
      </c>
      <c r="H34" s="13">
        <v>50</v>
      </c>
      <c r="I34" s="13">
        <v>9090</v>
      </c>
      <c r="J34" s="13">
        <v>109</v>
      </c>
      <c r="K34" s="13">
        <v>11.99119911991199</v>
      </c>
      <c r="L34" s="13">
        <v>50</v>
      </c>
    </row>
    <row r="35" spans="1:12" x14ac:dyDescent="0.2">
      <c r="A35" s="16" t="str">
        <f>VLOOKUP("&lt;Zeilentitel_12&gt;",Uebersetzungen!$B$3:$E$85,Uebersetzungen!$B$2+1,FALSE)</f>
        <v>Region Moesa</v>
      </c>
      <c r="B35" s="13">
        <v>9230</v>
      </c>
      <c r="C35" s="13">
        <v>114</v>
      </c>
      <c r="D35" s="13">
        <v>12.3510292524377</v>
      </c>
      <c r="E35" s="13">
        <v>4755</v>
      </c>
      <c r="F35" s="13">
        <v>48</v>
      </c>
      <c r="G35" s="13">
        <v>10.094637223974759</v>
      </c>
      <c r="H35" s="13">
        <v>42.10526315789474</v>
      </c>
      <c r="I35" s="13">
        <v>4475</v>
      </c>
      <c r="J35" s="13">
        <v>66</v>
      </c>
      <c r="K35" s="13">
        <v>14.74860335195531</v>
      </c>
      <c r="L35" s="13">
        <v>57.89473684210526</v>
      </c>
    </row>
    <row r="36" spans="1:12" x14ac:dyDescent="0.2">
      <c r="A36" s="16" t="str">
        <f>VLOOKUP("&lt;Zeilentitel_13&gt;",Uebersetzungen!$B$3:$E$85,Uebersetzungen!$B$2+1,FALSE)</f>
        <v>Region Plessur</v>
      </c>
      <c r="B36" s="13">
        <v>44532</v>
      </c>
      <c r="C36" s="13">
        <v>545</v>
      </c>
      <c r="D36" s="13">
        <v>12.23839037096919</v>
      </c>
      <c r="E36" s="13">
        <v>21987</v>
      </c>
      <c r="F36" s="13">
        <v>278</v>
      </c>
      <c r="G36" s="13">
        <v>12.643834993405189</v>
      </c>
      <c r="H36" s="13">
        <v>51.009174311926607</v>
      </c>
      <c r="I36" s="13">
        <v>22545</v>
      </c>
      <c r="J36" s="13">
        <v>267</v>
      </c>
      <c r="K36" s="13">
        <v>11.842980705256149</v>
      </c>
      <c r="L36" s="13">
        <v>48.990825688073393</v>
      </c>
    </row>
    <row r="37" spans="1:12" x14ac:dyDescent="0.2">
      <c r="A37" s="16" t="str">
        <f>VLOOKUP("&lt;Zeilentitel_14&gt;",Uebersetzungen!$B$3:$E$85,Uebersetzungen!$B$2+1,FALSE)</f>
        <v>Region Prättigau/Davos</v>
      </c>
      <c r="B37" s="13">
        <v>26554</v>
      </c>
      <c r="C37" s="13">
        <v>263</v>
      </c>
      <c r="D37" s="13">
        <v>9.90434586126384</v>
      </c>
      <c r="E37" s="13">
        <v>13404</v>
      </c>
      <c r="F37" s="13">
        <v>146</v>
      </c>
      <c r="G37" s="13">
        <v>10.892270963891381</v>
      </c>
      <c r="H37" s="13">
        <v>55.513307984790877</v>
      </c>
      <c r="I37" s="13">
        <v>13150</v>
      </c>
      <c r="J37" s="13">
        <v>117</v>
      </c>
      <c r="K37" s="13">
        <v>8.8973384030418252</v>
      </c>
      <c r="L37" s="13">
        <v>44.486692015209123</v>
      </c>
    </row>
    <row r="38" spans="1:12" x14ac:dyDescent="0.2">
      <c r="A38" s="16" t="str">
        <f>VLOOKUP("&lt;Zeilentitel_15&gt;",Uebersetzungen!$B$3:$E$85,Uebersetzungen!$B$2+1,FALSE)</f>
        <v>Region Surselva</v>
      </c>
      <c r="B38" s="13">
        <v>21804</v>
      </c>
      <c r="C38" s="13">
        <v>216</v>
      </c>
      <c r="D38" s="13">
        <v>9.9064391854705551</v>
      </c>
      <c r="E38" s="13">
        <v>11135</v>
      </c>
      <c r="F38" s="13">
        <v>106</v>
      </c>
      <c r="G38" s="13">
        <v>9.5195330040413104</v>
      </c>
      <c r="H38" s="13">
        <v>49.074074074074083</v>
      </c>
      <c r="I38" s="13">
        <v>10669</v>
      </c>
      <c r="J38" s="13">
        <v>110</v>
      </c>
      <c r="K38" s="13">
        <v>10.31024463398631</v>
      </c>
      <c r="L38" s="13">
        <v>50.925925925925917</v>
      </c>
    </row>
    <row r="39" spans="1:12" x14ac:dyDescent="0.2">
      <c r="A39" s="16" t="str">
        <f>VLOOKUP("&lt;Zeilentitel_16&gt;",Uebersetzungen!$B$3:$E$85,Uebersetzungen!$B$2+1,FALSE)</f>
        <v>Region Viamala</v>
      </c>
      <c r="B39" s="13">
        <v>14402</v>
      </c>
      <c r="C39" s="13">
        <v>115</v>
      </c>
      <c r="D39" s="13">
        <v>7.985002083044022</v>
      </c>
      <c r="E39" s="13">
        <v>7258</v>
      </c>
      <c r="F39" s="13">
        <v>60</v>
      </c>
      <c r="G39" s="13">
        <v>8.2667401488013219</v>
      </c>
      <c r="H39" s="13">
        <v>52.173913043478258</v>
      </c>
      <c r="I39" s="13">
        <v>7144</v>
      </c>
      <c r="J39" s="13">
        <v>55</v>
      </c>
      <c r="K39" s="13">
        <v>7.6987681970884658</v>
      </c>
      <c r="L39" s="13">
        <v>47.826086956521742</v>
      </c>
    </row>
    <row r="40" spans="1:12" x14ac:dyDescent="0.2">
      <c r="A40" s="16" t="str">
        <f>VLOOKUP("&lt;Zeilentitel_17&gt;",Uebersetzungen!$B$3:$E$85,Uebersetzungen!$B$2+1,FALSE)</f>
        <v>Total Kanton</v>
      </c>
      <c r="B40" s="13">
        <v>204888</v>
      </c>
      <c r="C40" s="13">
        <v>2139</v>
      </c>
      <c r="D40" s="13">
        <v>10.439850064425441</v>
      </c>
      <c r="E40" s="13">
        <v>102927</v>
      </c>
      <c r="F40" s="13">
        <v>1061</v>
      </c>
      <c r="G40" s="13">
        <v>10.30827673982531</v>
      </c>
      <c r="H40" s="13">
        <v>49.602618045815802</v>
      </c>
      <c r="I40" s="13">
        <v>101961</v>
      </c>
      <c r="J40" s="13">
        <v>1078</v>
      </c>
      <c r="K40" s="13">
        <v>10.57266994242897</v>
      </c>
      <c r="L40" s="13">
        <v>50.397381954184198</v>
      </c>
    </row>
    <row r="41" spans="1:12" x14ac:dyDescent="0.2">
      <c r="A41" s="51" t="str">
        <f>VLOOKUP("&lt;Zeilentitel_18&gt;",Uebersetzungen!$B$3:$E$85,Uebersetzungen!$B$2+1,FALSE)</f>
        <v>Total Schweiz</v>
      </c>
      <c r="B41" s="53">
        <v>8962258</v>
      </c>
      <c r="C41" s="53">
        <v>115637</v>
      </c>
      <c r="D41" s="53">
        <v>12.902663592143851</v>
      </c>
      <c r="E41" s="53">
        <v>4451532</v>
      </c>
      <c r="F41" s="53">
        <v>53505</v>
      </c>
      <c r="G41" s="53">
        <v>12.019457571011509</v>
      </c>
      <c r="H41" s="53">
        <v>46.269792540449863</v>
      </c>
      <c r="I41" s="53">
        <v>4510726</v>
      </c>
      <c r="J41" s="53">
        <v>62132</v>
      </c>
      <c r="K41" s="53">
        <v>13.774279351040169</v>
      </c>
      <c r="L41" s="53">
        <v>53.730207459550137</v>
      </c>
    </row>
    <row r="43" spans="1:12" x14ac:dyDescent="0.2">
      <c r="A43" s="27" t="str">
        <f>VLOOKUP("&lt;Quelle_1&gt;",Uebersetzungen!$B$3:$E$85,Uebersetzungen!$B$2+1,FALSE)</f>
        <v>Quelle: SHIS-BFS</v>
      </c>
    </row>
    <row r="44" spans="1:12" x14ac:dyDescent="0.2">
      <c r="A44" s="27" t="str">
        <f>VLOOKUP("&lt;Aktualisierung&gt;",Uebersetzungen!$B$3:$E$85,Uebersetzungen!$B$2+1,FALSE)</f>
        <v>Letztmals aktualisiert am: 01.11.2024</v>
      </c>
    </row>
  </sheetData>
  <sheetProtection sheet="1" objects="1" scenarios="1"/>
  <mergeCells count="4">
    <mergeCell ref="I27:L27"/>
    <mergeCell ref="A7:B7"/>
    <mergeCell ref="B27:D27"/>
    <mergeCell ref="E27:H27"/>
  </mergeCells>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5</xdr:col>
                    <xdr:colOff>400050</xdr:colOff>
                    <xdr:row>1</xdr:row>
                    <xdr:rowOff>123825</xdr:rowOff>
                  </from>
                  <to>
                    <xdr:col>6</xdr:col>
                    <xdr:colOff>657225</xdr:colOff>
                    <xdr:row>2</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5</xdr:col>
                    <xdr:colOff>400050</xdr:colOff>
                    <xdr:row>2</xdr:row>
                    <xdr:rowOff>114300</xdr:rowOff>
                  </from>
                  <to>
                    <xdr:col>7</xdr:col>
                    <xdr:colOff>228600</xdr:colOff>
                    <xdr:row>3</xdr:row>
                    <xdr:rowOff>123825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xdr:col>
                    <xdr:colOff>400050</xdr:colOff>
                    <xdr:row>3</xdr:row>
                    <xdr:rowOff>76200</xdr:rowOff>
                  </from>
                  <to>
                    <xdr:col>6</xdr:col>
                    <xdr:colOff>657225</xdr:colOff>
                    <xdr:row>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showGridLines="0" workbookViewId="0"/>
  </sheetViews>
  <sheetFormatPr baseColWidth="10" defaultColWidth="9.140625" defaultRowHeight="12.75" x14ac:dyDescent="0.2"/>
  <cols>
    <col min="1" max="1" width="29.7109375" style="1" customWidth="1"/>
    <col min="2" max="16384" width="9.140625" style="1"/>
  </cols>
  <sheetData>
    <row r="1" spans="1:16" s="29" customFormat="1" x14ac:dyDescent="0.2"/>
    <row r="2" spans="1:16" s="29" customFormat="1" ht="15" x14ac:dyDescent="0.25">
      <c r="B2" s="31"/>
      <c r="C2" s="31"/>
    </row>
    <row r="3" spans="1:16" s="29" customFormat="1" ht="15" x14ac:dyDescent="0.25">
      <c r="B3" s="31"/>
      <c r="C3" s="31"/>
    </row>
    <row r="4" spans="1:16" s="29" customFormat="1" ht="15" x14ac:dyDescent="0.25">
      <c r="B4" s="31"/>
      <c r="C4" s="31"/>
    </row>
    <row r="5" spans="1:16" s="29" customFormat="1" x14ac:dyDescent="0.2"/>
    <row r="6" spans="1:16" s="29" customFormat="1" x14ac:dyDescent="0.2"/>
    <row r="7" spans="1:16" s="3" customFormat="1" ht="15.75" customHeight="1" x14ac:dyDescent="0.2">
      <c r="A7" s="57" t="str">
        <f>VLOOKUP("&lt;Fachbereich&gt;",Uebersetzungen!$B$3:$E$85,Uebersetzungen!$B$2+1,FALSE)</f>
        <v>Daten &amp; Statistik</v>
      </c>
    </row>
    <row r="8" spans="1:16" s="2" customFormat="1" x14ac:dyDescent="0.2"/>
    <row r="9" spans="1:16" s="8" customFormat="1" ht="18" x14ac:dyDescent="0.25">
      <c r="A9" s="4" t="str">
        <f>VLOOKUP("&lt;Titel&gt;",Uebersetzungen!$B$3:$E$85,Uebersetzungen!$B$2+1,FALSE)</f>
        <v>Tertiärstufe: Studierende mit Wohnkanton Graubünden 2023-2024</v>
      </c>
      <c r="B9" s="6"/>
      <c r="C9" s="6"/>
      <c r="D9" s="6"/>
      <c r="E9" s="6"/>
      <c r="F9" s="6"/>
      <c r="G9" s="6"/>
      <c r="H9" s="7"/>
    </row>
    <row r="11" spans="1:16" x14ac:dyDescent="0.2">
      <c r="A11" s="9" t="str">
        <f>VLOOKUP("&lt;T2UTitel1&gt;",Uebersetzungen!$B$3:$E$85,Uebersetzungen!$B$2+1,FALSE)</f>
        <v>Studierende im Herbsemester 2023/2024</v>
      </c>
    </row>
    <row r="13" spans="1:16" ht="14.25" customHeight="1" x14ac:dyDescent="0.2">
      <c r="B13" s="54" t="s">
        <v>29</v>
      </c>
      <c r="C13" s="54" t="s">
        <v>30</v>
      </c>
      <c r="D13" s="54" t="s">
        <v>31</v>
      </c>
      <c r="E13" s="54" t="s">
        <v>32</v>
      </c>
      <c r="F13" s="54" t="s">
        <v>261</v>
      </c>
      <c r="G13" s="54" t="s">
        <v>33</v>
      </c>
      <c r="H13" s="54" t="s">
        <v>34</v>
      </c>
      <c r="I13" s="54" t="s">
        <v>35</v>
      </c>
      <c r="J13" s="54" t="s">
        <v>36</v>
      </c>
      <c r="K13" s="54" t="s">
        <v>37</v>
      </c>
      <c r="L13" s="54" t="s">
        <v>38</v>
      </c>
      <c r="M13" s="54" t="s">
        <v>262</v>
      </c>
      <c r="N13" s="54" t="s">
        <v>39</v>
      </c>
      <c r="O13" s="54" t="s">
        <v>40</v>
      </c>
      <c r="P13" s="54" t="s">
        <v>41</v>
      </c>
    </row>
    <row r="14" spans="1:16" ht="14.25" customHeight="1" x14ac:dyDescent="0.2">
      <c r="A14" s="58" t="str">
        <f>VLOOKUP("&lt;T2Zeilentitel_1&gt;",Uebersetzungen!$B$3:$E$85,Uebersetzungen!$B$2+1,FALSE)</f>
        <v>1 Geistes- + Sozialwissenschaften</v>
      </c>
      <c r="B14" s="55">
        <v>44</v>
      </c>
      <c r="C14" s="55">
        <v>106</v>
      </c>
      <c r="D14" s="55">
        <v>33</v>
      </c>
      <c r="E14" s="55">
        <v>7</v>
      </c>
      <c r="F14" s="55">
        <v>1</v>
      </c>
      <c r="G14" s="55">
        <v>6</v>
      </c>
      <c r="H14" s="55">
        <v>19</v>
      </c>
      <c r="I14" s="55">
        <v>1</v>
      </c>
      <c r="J14" s="55">
        <v>11</v>
      </c>
      <c r="K14" s="55">
        <v>245</v>
      </c>
      <c r="L14" s="55">
        <v>8</v>
      </c>
      <c r="M14" s="55">
        <v>25</v>
      </c>
      <c r="N14" s="55">
        <v>0</v>
      </c>
      <c r="O14" s="55">
        <v>3</v>
      </c>
      <c r="P14" s="55">
        <v>509</v>
      </c>
    </row>
    <row r="15" spans="1:16" ht="14.25" customHeight="1" x14ac:dyDescent="0.2">
      <c r="A15" s="58" t="str">
        <f>VLOOKUP("&lt;T2Zeilentitel_2&gt;",Uebersetzungen!$B$3:$E$85,Uebersetzungen!$B$2+1,FALSE)</f>
        <v>2 Wirtschaftswissenschaften</v>
      </c>
      <c r="B15" s="55">
        <v>0</v>
      </c>
      <c r="C15" s="55">
        <v>27</v>
      </c>
      <c r="D15" s="55">
        <v>4</v>
      </c>
      <c r="E15" s="55">
        <v>0</v>
      </c>
      <c r="F15" s="55">
        <v>0</v>
      </c>
      <c r="G15" s="55">
        <v>0</v>
      </c>
      <c r="H15" s="55">
        <v>1</v>
      </c>
      <c r="I15" s="55">
        <v>0</v>
      </c>
      <c r="J15" s="55">
        <v>160</v>
      </c>
      <c r="K15" s="55">
        <v>62</v>
      </c>
      <c r="L15" s="55">
        <v>9</v>
      </c>
      <c r="M15" s="55">
        <v>8</v>
      </c>
      <c r="N15" s="55">
        <v>0</v>
      </c>
      <c r="O15" s="55">
        <v>0</v>
      </c>
      <c r="P15" s="55">
        <v>271</v>
      </c>
    </row>
    <row r="16" spans="1:16" ht="14.25" customHeight="1" x14ac:dyDescent="0.2">
      <c r="A16" s="58" t="str">
        <f>VLOOKUP("&lt;T2Zeilentitel_3&gt;",Uebersetzungen!$B$3:$E$85,Uebersetzungen!$B$2+1,FALSE)</f>
        <v>3 Recht</v>
      </c>
      <c r="B16" s="55">
        <v>4</v>
      </c>
      <c r="C16" s="55">
        <v>51</v>
      </c>
      <c r="D16" s="55">
        <v>11</v>
      </c>
      <c r="E16" s="55">
        <v>0</v>
      </c>
      <c r="F16" s="55">
        <v>0</v>
      </c>
      <c r="G16" s="55">
        <v>0</v>
      </c>
      <c r="H16" s="55">
        <v>39</v>
      </c>
      <c r="I16" s="55">
        <v>0</v>
      </c>
      <c r="J16" s="55">
        <v>43</v>
      </c>
      <c r="K16" s="55">
        <v>121</v>
      </c>
      <c r="L16" s="55">
        <v>0</v>
      </c>
      <c r="M16" s="55">
        <v>12</v>
      </c>
      <c r="N16" s="55">
        <v>0</v>
      </c>
      <c r="O16" s="55">
        <v>0</v>
      </c>
      <c r="P16" s="55">
        <v>281</v>
      </c>
    </row>
    <row r="17" spans="1:16" ht="14.25" customHeight="1" x14ac:dyDescent="0.2">
      <c r="A17" s="58" t="str">
        <f>VLOOKUP("&lt;T2Zeilentitel_4&gt;",Uebersetzungen!$B$3:$E$85,Uebersetzungen!$B$2+1,FALSE)</f>
        <v>4 Exakte + Naturwissenschaften</v>
      </c>
      <c r="B17" s="55">
        <v>15</v>
      </c>
      <c r="C17" s="55">
        <v>36</v>
      </c>
      <c r="D17" s="55">
        <v>10</v>
      </c>
      <c r="E17" s="55">
        <v>1</v>
      </c>
      <c r="F17" s="55">
        <v>0</v>
      </c>
      <c r="G17" s="55">
        <v>6</v>
      </c>
      <c r="H17" s="55">
        <v>0</v>
      </c>
      <c r="I17" s="55">
        <v>1</v>
      </c>
      <c r="J17" s="55">
        <v>1</v>
      </c>
      <c r="K17" s="55">
        <v>126</v>
      </c>
      <c r="L17" s="55">
        <v>1</v>
      </c>
      <c r="M17" s="55">
        <v>1</v>
      </c>
      <c r="N17" s="55">
        <v>5</v>
      </c>
      <c r="O17" s="55">
        <v>150</v>
      </c>
      <c r="P17" s="55">
        <v>353</v>
      </c>
    </row>
    <row r="18" spans="1:16" ht="14.25" customHeight="1" x14ac:dyDescent="0.2">
      <c r="A18" s="58" t="str">
        <f>VLOOKUP("&lt;T2Zeilentitel_5&gt;",Uebersetzungen!$B$3:$E$85,Uebersetzungen!$B$2+1,FALSE)</f>
        <v>5 Medizin + Pharmazie</v>
      </c>
      <c r="B18" s="55">
        <v>49</v>
      </c>
      <c r="C18" s="55">
        <v>149</v>
      </c>
      <c r="D18" s="55">
        <v>12</v>
      </c>
      <c r="E18" s="55">
        <v>0</v>
      </c>
      <c r="F18" s="55">
        <v>0</v>
      </c>
      <c r="G18" s="55">
        <v>1</v>
      </c>
      <c r="H18" s="55">
        <v>14</v>
      </c>
      <c r="I18" s="55">
        <v>0</v>
      </c>
      <c r="J18" s="55">
        <v>3</v>
      </c>
      <c r="K18" s="55">
        <v>107</v>
      </c>
      <c r="L18" s="55">
        <v>12</v>
      </c>
      <c r="M18" s="55">
        <v>0</v>
      </c>
      <c r="N18" s="55">
        <v>0</v>
      </c>
      <c r="O18" s="55">
        <v>34</v>
      </c>
      <c r="P18" s="55">
        <v>381</v>
      </c>
    </row>
    <row r="19" spans="1:16" ht="14.25" customHeight="1" x14ac:dyDescent="0.2">
      <c r="A19" s="58" t="str">
        <f>VLOOKUP("&lt;T2Zeilentitel_6&gt;",Uebersetzungen!$B$3:$E$85,Uebersetzungen!$B$2+1,FALSE)</f>
        <v>6 Technische Wissenschaften</v>
      </c>
      <c r="B19" s="55">
        <v>0</v>
      </c>
      <c r="C19" s="55">
        <v>0</v>
      </c>
      <c r="D19" s="55">
        <v>0</v>
      </c>
      <c r="E19" s="55">
        <v>0</v>
      </c>
      <c r="F19" s="55">
        <v>0</v>
      </c>
      <c r="G19" s="55">
        <v>0</v>
      </c>
      <c r="H19" s="55">
        <v>0</v>
      </c>
      <c r="I19" s="55">
        <v>0</v>
      </c>
      <c r="J19" s="55">
        <v>0</v>
      </c>
      <c r="K19" s="55">
        <v>0</v>
      </c>
      <c r="L19" s="55">
        <v>3</v>
      </c>
      <c r="M19" s="55">
        <v>0</v>
      </c>
      <c r="N19" s="55">
        <v>0</v>
      </c>
      <c r="O19" s="55">
        <v>288</v>
      </c>
      <c r="P19" s="55">
        <v>291</v>
      </c>
    </row>
    <row r="20" spans="1:16" ht="14.25" customHeight="1" x14ac:dyDescent="0.2">
      <c r="A20" s="58" t="str">
        <f>VLOOKUP("&lt;T2Zeilentitel_7&gt;",Uebersetzungen!$B$3:$E$85,Uebersetzungen!$B$2+1,FALSE)</f>
        <v>7 Interdisziplinäre + andere</v>
      </c>
      <c r="B20" s="55">
        <v>8</v>
      </c>
      <c r="C20" s="55">
        <v>26</v>
      </c>
      <c r="D20" s="55">
        <v>8</v>
      </c>
      <c r="E20" s="55">
        <v>0</v>
      </c>
      <c r="F20" s="55">
        <v>0</v>
      </c>
      <c r="G20" s="55">
        <v>0</v>
      </c>
      <c r="H20" s="55">
        <v>1</v>
      </c>
      <c r="I20" s="55">
        <v>0</v>
      </c>
      <c r="J20" s="55">
        <v>2</v>
      </c>
      <c r="K20" s="55">
        <v>6</v>
      </c>
      <c r="L20" s="55">
        <v>0</v>
      </c>
      <c r="M20" s="55">
        <v>0</v>
      </c>
      <c r="N20" s="55">
        <v>0</v>
      </c>
      <c r="O20" s="55">
        <v>2</v>
      </c>
      <c r="P20" s="55">
        <v>53</v>
      </c>
    </row>
    <row r="21" spans="1:16" ht="14.25" customHeight="1" x14ac:dyDescent="0.2">
      <c r="A21" s="58" t="str">
        <f>VLOOKUP("&lt;T2Zeilentitel_8&gt;",Uebersetzungen!$B$3:$E$85,Uebersetzungen!$B$2+1,FALSE)</f>
        <v>TOTAL</v>
      </c>
      <c r="B21" s="70">
        <v>120</v>
      </c>
      <c r="C21" s="70">
        <v>395</v>
      </c>
      <c r="D21" s="70">
        <v>78</v>
      </c>
      <c r="E21" s="70">
        <v>8</v>
      </c>
      <c r="F21" s="70">
        <v>1</v>
      </c>
      <c r="G21" s="70">
        <v>13</v>
      </c>
      <c r="H21" s="70">
        <v>74</v>
      </c>
      <c r="I21" s="70">
        <v>2</v>
      </c>
      <c r="J21" s="70">
        <v>220</v>
      </c>
      <c r="K21" s="70">
        <v>667</v>
      </c>
      <c r="L21" s="70">
        <v>33</v>
      </c>
      <c r="M21" s="70">
        <v>46</v>
      </c>
      <c r="N21" s="70">
        <v>5</v>
      </c>
      <c r="O21" s="70">
        <v>477</v>
      </c>
      <c r="P21" s="70">
        <v>2139</v>
      </c>
    </row>
    <row r="22" spans="1:16" ht="14.25" customHeight="1" x14ac:dyDescent="0.2"/>
    <row r="23" spans="1:16" ht="14.25" customHeight="1" x14ac:dyDescent="0.2"/>
    <row r="24" spans="1:16" ht="14.25" customHeight="1" x14ac:dyDescent="0.2">
      <c r="A24" s="9" t="str">
        <f>VLOOKUP("&lt;T2UTitel2&gt;",Uebersetzungen!$B$3:$E$85,Uebersetzungen!$B$2+1,FALSE)</f>
        <v>Eintritte im Herbsemester 2023/2024</v>
      </c>
    </row>
    <row r="25" spans="1:16" ht="14.25" customHeight="1" x14ac:dyDescent="0.2"/>
    <row r="26" spans="1:16" ht="14.25" customHeight="1" x14ac:dyDescent="0.2">
      <c r="B26" s="54" t="s">
        <v>29</v>
      </c>
      <c r="C26" s="54" t="s">
        <v>30</v>
      </c>
      <c r="D26" s="54" t="s">
        <v>31</v>
      </c>
      <c r="E26" s="54" t="s">
        <v>32</v>
      </c>
      <c r="F26" s="54" t="s">
        <v>261</v>
      </c>
      <c r="G26" s="54" t="s">
        <v>33</v>
      </c>
      <c r="H26" s="54" t="s">
        <v>34</v>
      </c>
      <c r="I26" s="54" t="s">
        <v>35</v>
      </c>
      <c r="J26" s="54" t="s">
        <v>36</v>
      </c>
      <c r="K26" s="54" t="s">
        <v>37</v>
      </c>
      <c r="L26" s="54" t="s">
        <v>38</v>
      </c>
      <c r="M26" s="54" t="s">
        <v>262</v>
      </c>
      <c r="N26" s="54" t="s">
        <v>39</v>
      </c>
      <c r="O26" s="54" t="s">
        <v>40</v>
      </c>
      <c r="P26" s="54" t="s">
        <v>41</v>
      </c>
    </row>
    <row r="27" spans="1:16" ht="14.25" customHeight="1" x14ac:dyDescent="0.2">
      <c r="A27" s="58" t="str">
        <f>VLOOKUP("&lt;T2Zeilentitel_1&gt;",Uebersetzungen!$B$3:$E$85,Uebersetzungen!$B$2+1,FALSE)</f>
        <v>1 Geistes- + Sozialwissenschaften</v>
      </c>
      <c r="B27" s="55">
        <v>4</v>
      </c>
      <c r="C27" s="55">
        <v>14</v>
      </c>
      <c r="D27" s="55">
        <v>1</v>
      </c>
      <c r="E27" s="55">
        <v>0</v>
      </c>
      <c r="F27" s="55">
        <v>0</v>
      </c>
      <c r="G27" s="55">
        <v>0</v>
      </c>
      <c r="H27" s="55">
        <v>3</v>
      </c>
      <c r="I27" s="55">
        <v>0</v>
      </c>
      <c r="J27" s="55">
        <v>0</v>
      </c>
      <c r="K27" s="55">
        <v>26</v>
      </c>
      <c r="L27" s="55">
        <v>1</v>
      </c>
      <c r="M27" s="55">
        <v>2</v>
      </c>
      <c r="N27" s="55">
        <v>0</v>
      </c>
      <c r="O27" s="55">
        <v>51</v>
      </c>
      <c r="P27" s="55">
        <v>102</v>
      </c>
    </row>
    <row r="28" spans="1:16" ht="14.25" customHeight="1" x14ac:dyDescent="0.2">
      <c r="A28" s="58" t="str">
        <f>VLOOKUP("&lt;T2Zeilentitel_2&gt;",Uebersetzungen!$B$3:$E$85,Uebersetzungen!$B$2+1,FALSE)</f>
        <v>2 Wirtschaftswissenschaften</v>
      </c>
      <c r="B28" s="55">
        <v>0</v>
      </c>
      <c r="C28" s="55">
        <v>3</v>
      </c>
      <c r="D28" s="55">
        <v>0</v>
      </c>
      <c r="E28" s="55">
        <v>0</v>
      </c>
      <c r="F28" s="55">
        <v>0</v>
      </c>
      <c r="G28" s="55">
        <v>0</v>
      </c>
      <c r="H28" s="55">
        <v>0</v>
      </c>
      <c r="I28" s="55">
        <v>0</v>
      </c>
      <c r="J28" s="55">
        <v>28</v>
      </c>
      <c r="K28" s="55">
        <v>4</v>
      </c>
      <c r="L28" s="55">
        <v>0</v>
      </c>
      <c r="M28" s="55">
        <v>5</v>
      </c>
      <c r="N28" s="55">
        <v>0</v>
      </c>
      <c r="O28" s="55">
        <v>40</v>
      </c>
      <c r="P28" s="55">
        <v>80</v>
      </c>
    </row>
    <row r="29" spans="1:16" ht="14.25" customHeight="1" x14ac:dyDescent="0.2">
      <c r="A29" s="58" t="str">
        <f>VLOOKUP("&lt;T2Zeilentitel_3&gt;",Uebersetzungen!$B$3:$E$85,Uebersetzungen!$B$2+1,FALSE)</f>
        <v>3 Recht</v>
      </c>
      <c r="B29" s="55">
        <v>0</v>
      </c>
      <c r="C29" s="55">
        <v>7</v>
      </c>
      <c r="D29" s="55">
        <v>5</v>
      </c>
      <c r="E29" s="55">
        <v>0</v>
      </c>
      <c r="F29" s="55">
        <v>0</v>
      </c>
      <c r="G29" s="55">
        <v>0</v>
      </c>
      <c r="H29" s="55">
        <v>1</v>
      </c>
      <c r="I29" s="55">
        <v>0</v>
      </c>
      <c r="J29" s="55">
        <v>3</v>
      </c>
      <c r="K29" s="55">
        <v>16</v>
      </c>
      <c r="L29" s="55">
        <v>0</v>
      </c>
      <c r="M29" s="55">
        <v>0</v>
      </c>
      <c r="N29" s="55">
        <v>0</v>
      </c>
      <c r="O29" s="55">
        <v>32</v>
      </c>
      <c r="P29" s="55">
        <v>64</v>
      </c>
    </row>
    <row r="30" spans="1:16" ht="14.25" customHeight="1" x14ac:dyDescent="0.2">
      <c r="A30" s="58" t="str">
        <f>VLOOKUP("&lt;T2Zeilentitel_4&gt;",Uebersetzungen!$B$3:$E$85,Uebersetzungen!$B$2+1,FALSE)</f>
        <v>4 Exakte + Naturwissenschaften</v>
      </c>
      <c r="B30" s="55">
        <v>1</v>
      </c>
      <c r="C30" s="55">
        <v>6</v>
      </c>
      <c r="D30" s="55">
        <v>1</v>
      </c>
      <c r="E30" s="55">
        <v>0</v>
      </c>
      <c r="F30" s="55">
        <v>0</v>
      </c>
      <c r="G30" s="55">
        <v>1</v>
      </c>
      <c r="H30" s="55">
        <v>0</v>
      </c>
      <c r="I30" s="55">
        <v>0</v>
      </c>
      <c r="J30" s="55">
        <v>0</v>
      </c>
      <c r="K30" s="55">
        <v>13</v>
      </c>
      <c r="L30" s="55">
        <v>0</v>
      </c>
      <c r="M30" s="55">
        <v>1</v>
      </c>
      <c r="N30" s="55">
        <v>24</v>
      </c>
      <c r="O30" s="55">
        <v>47</v>
      </c>
      <c r="P30" s="55">
        <v>94</v>
      </c>
    </row>
    <row r="31" spans="1:16" ht="14.25" customHeight="1" x14ac:dyDescent="0.2">
      <c r="A31" s="58" t="str">
        <f>VLOOKUP("&lt;T2Zeilentitel_5&gt;",Uebersetzungen!$B$3:$E$85,Uebersetzungen!$B$2+1,FALSE)</f>
        <v>5 Medizin + Pharmazie</v>
      </c>
      <c r="B31" s="55">
        <v>3</v>
      </c>
      <c r="C31" s="55">
        <v>20</v>
      </c>
      <c r="D31" s="55">
        <v>4</v>
      </c>
      <c r="E31" s="55">
        <v>0</v>
      </c>
      <c r="F31" s="55">
        <v>0</v>
      </c>
      <c r="G31" s="55">
        <v>0</v>
      </c>
      <c r="H31" s="55">
        <v>0</v>
      </c>
      <c r="I31" s="55">
        <v>0</v>
      </c>
      <c r="J31" s="55">
        <v>0</v>
      </c>
      <c r="K31" s="55">
        <v>8</v>
      </c>
      <c r="L31" s="55">
        <v>0</v>
      </c>
      <c r="M31" s="55">
        <v>0</v>
      </c>
      <c r="N31" s="55">
        <v>5</v>
      </c>
      <c r="O31" s="55">
        <v>40</v>
      </c>
      <c r="P31" s="55">
        <v>80</v>
      </c>
    </row>
    <row r="32" spans="1:16" ht="14.25" customHeight="1" x14ac:dyDescent="0.2">
      <c r="A32" s="58" t="str">
        <f>VLOOKUP("&lt;T2Zeilentitel_6&gt;",Uebersetzungen!$B$3:$E$85,Uebersetzungen!$B$2+1,FALSE)</f>
        <v>6 Technische Wissenschaften</v>
      </c>
      <c r="B32" s="55">
        <v>0</v>
      </c>
      <c r="C32" s="55">
        <v>0</v>
      </c>
      <c r="D32" s="55">
        <v>0</v>
      </c>
      <c r="E32" s="55">
        <v>0</v>
      </c>
      <c r="F32" s="55">
        <v>0</v>
      </c>
      <c r="G32" s="55">
        <v>0</v>
      </c>
      <c r="H32" s="55">
        <v>0</v>
      </c>
      <c r="I32" s="55">
        <v>0</v>
      </c>
      <c r="J32" s="55">
        <v>0</v>
      </c>
      <c r="K32" s="55">
        <v>0</v>
      </c>
      <c r="L32" s="55">
        <v>0</v>
      </c>
      <c r="M32" s="55">
        <v>0</v>
      </c>
      <c r="N32" s="55">
        <v>38</v>
      </c>
      <c r="O32" s="55">
        <v>38</v>
      </c>
      <c r="P32" s="55">
        <v>76</v>
      </c>
    </row>
    <row r="33" spans="1:16" ht="14.25" customHeight="1" x14ac:dyDescent="0.2">
      <c r="A33" s="58" t="str">
        <f>VLOOKUP("&lt;T2Zeilentitel_7&gt;",Uebersetzungen!$B$3:$E$85,Uebersetzungen!$B$2+1,FALSE)</f>
        <v>7 Interdisziplinäre + andere</v>
      </c>
      <c r="B33" s="55">
        <v>3</v>
      </c>
      <c r="C33" s="55">
        <v>2</v>
      </c>
      <c r="D33" s="55">
        <v>0</v>
      </c>
      <c r="E33" s="55">
        <v>0</v>
      </c>
      <c r="F33" s="55">
        <v>0</v>
      </c>
      <c r="G33" s="55">
        <v>0</v>
      </c>
      <c r="H33" s="55">
        <v>0</v>
      </c>
      <c r="I33" s="55">
        <v>0</v>
      </c>
      <c r="J33" s="55">
        <v>0</v>
      </c>
      <c r="K33" s="55">
        <v>0</v>
      </c>
      <c r="L33" s="55">
        <v>0</v>
      </c>
      <c r="M33" s="55">
        <v>0</v>
      </c>
      <c r="N33" s="55">
        <v>0</v>
      </c>
      <c r="O33" s="55">
        <v>5</v>
      </c>
      <c r="P33" s="55">
        <v>10</v>
      </c>
    </row>
    <row r="34" spans="1:16" ht="14.25" customHeight="1" x14ac:dyDescent="0.2">
      <c r="A34" s="58" t="str">
        <f>VLOOKUP("&lt;T2Zeilentitel_8&gt;",Uebersetzungen!$B$3:$E$85,Uebersetzungen!$B$2+1,FALSE)</f>
        <v>TOTAL</v>
      </c>
      <c r="B34" s="70">
        <v>11</v>
      </c>
      <c r="C34" s="70">
        <v>52</v>
      </c>
      <c r="D34" s="70">
        <v>11</v>
      </c>
      <c r="E34" s="70">
        <v>0</v>
      </c>
      <c r="F34" s="70">
        <v>0</v>
      </c>
      <c r="G34" s="70">
        <v>1</v>
      </c>
      <c r="H34" s="70">
        <v>4</v>
      </c>
      <c r="I34" s="70">
        <v>0</v>
      </c>
      <c r="J34" s="70">
        <v>31</v>
      </c>
      <c r="K34" s="70">
        <v>67</v>
      </c>
      <c r="L34" s="70">
        <v>1</v>
      </c>
      <c r="M34" s="70">
        <v>8</v>
      </c>
      <c r="N34" s="70">
        <v>67</v>
      </c>
      <c r="O34" s="70">
        <v>253</v>
      </c>
      <c r="P34" s="70">
        <v>506</v>
      </c>
    </row>
    <row r="35" spans="1:16" ht="14.25" customHeight="1" x14ac:dyDescent="0.2"/>
    <row r="36" spans="1:16" ht="14.25" customHeight="1" x14ac:dyDescent="0.2"/>
    <row r="37" spans="1:16" ht="14.25" customHeight="1" x14ac:dyDescent="0.2">
      <c r="A37" s="9" t="str">
        <f>VLOOKUP("&lt;T2UTitel3&gt;",Uebersetzungen!$B$3:$E$85,Uebersetzungen!$B$2+1,FALSE)</f>
        <v>Absolvent/innen 2023</v>
      </c>
    </row>
    <row r="38" spans="1:16" ht="14.25" customHeight="1" x14ac:dyDescent="0.2"/>
    <row r="39" spans="1:16" ht="14.25" customHeight="1" x14ac:dyDescent="0.2">
      <c r="B39" s="54" t="s">
        <v>29</v>
      </c>
      <c r="C39" s="54" t="s">
        <v>30</v>
      </c>
      <c r="D39" s="54" t="s">
        <v>31</v>
      </c>
      <c r="E39" s="54" t="s">
        <v>32</v>
      </c>
      <c r="F39" s="54" t="s">
        <v>261</v>
      </c>
      <c r="G39" s="54" t="s">
        <v>33</v>
      </c>
      <c r="H39" s="54" t="s">
        <v>34</v>
      </c>
      <c r="I39" s="54" t="s">
        <v>35</v>
      </c>
      <c r="J39" s="54" t="s">
        <v>36</v>
      </c>
      <c r="K39" s="54" t="s">
        <v>37</v>
      </c>
      <c r="L39" s="54" t="s">
        <v>38</v>
      </c>
      <c r="M39" s="54" t="s">
        <v>262</v>
      </c>
      <c r="N39" s="54" t="s">
        <v>39</v>
      </c>
      <c r="O39" s="54" t="s">
        <v>40</v>
      </c>
      <c r="P39" s="54" t="s">
        <v>41</v>
      </c>
    </row>
    <row r="40" spans="1:16" ht="14.25" customHeight="1" x14ac:dyDescent="0.2">
      <c r="A40" s="58" t="str">
        <f>VLOOKUP("&lt;T2Zeilentitel_1&gt;",Uebersetzungen!$B$3:$E$85,Uebersetzungen!$B$2+1,FALSE)</f>
        <v>1 Geistes- + Sozialwissenschaften</v>
      </c>
      <c r="B40" s="55">
        <v>6</v>
      </c>
      <c r="C40" s="55">
        <v>28</v>
      </c>
      <c r="D40" s="55">
        <v>10</v>
      </c>
      <c r="E40" s="55">
        <v>5</v>
      </c>
      <c r="F40" s="55">
        <v>1</v>
      </c>
      <c r="G40" s="55">
        <v>3</v>
      </c>
      <c r="H40" s="55">
        <v>1</v>
      </c>
      <c r="I40" s="55">
        <v>0</v>
      </c>
      <c r="J40" s="55">
        <v>2</v>
      </c>
      <c r="K40" s="55">
        <v>72</v>
      </c>
      <c r="L40" s="55">
        <v>0</v>
      </c>
      <c r="M40" s="55">
        <v>1</v>
      </c>
      <c r="N40" s="55">
        <v>0</v>
      </c>
      <c r="O40" s="55">
        <v>0</v>
      </c>
      <c r="P40" s="55">
        <v>129</v>
      </c>
    </row>
    <row r="41" spans="1:16" ht="14.25" customHeight="1" x14ac:dyDescent="0.2">
      <c r="A41" s="58" t="str">
        <f>VLOOKUP("&lt;T2Zeilentitel_2&gt;",Uebersetzungen!$B$3:$E$85,Uebersetzungen!$B$2+1,FALSE)</f>
        <v>2 Wirtschaftswissenschaften</v>
      </c>
      <c r="B41" s="55">
        <v>0</v>
      </c>
      <c r="C41" s="55">
        <v>5</v>
      </c>
      <c r="D41" s="55">
        <v>0</v>
      </c>
      <c r="E41" s="55">
        <v>0</v>
      </c>
      <c r="F41" s="55">
        <v>0</v>
      </c>
      <c r="G41" s="55">
        <v>2</v>
      </c>
      <c r="H41" s="55">
        <v>2</v>
      </c>
      <c r="I41" s="55">
        <v>1</v>
      </c>
      <c r="J41" s="55">
        <v>30</v>
      </c>
      <c r="K41" s="55">
        <v>16</v>
      </c>
      <c r="L41" s="55">
        <v>1</v>
      </c>
      <c r="M41" s="55">
        <v>0</v>
      </c>
      <c r="N41" s="55">
        <v>0</v>
      </c>
      <c r="O41" s="55">
        <v>0</v>
      </c>
      <c r="P41" s="55">
        <v>57</v>
      </c>
    </row>
    <row r="42" spans="1:16" ht="14.25" customHeight="1" x14ac:dyDescent="0.2">
      <c r="A42" s="58" t="str">
        <f>VLOOKUP("&lt;T2Zeilentitel_3&gt;",Uebersetzungen!$B$3:$E$85,Uebersetzungen!$B$2+1,FALSE)</f>
        <v>3 Recht</v>
      </c>
      <c r="B42" s="55">
        <v>2</v>
      </c>
      <c r="C42" s="55">
        <v>14</v>
      </c>
      <c r="D42" s="55">
        <v>2</v>
      </c>
      <c r="E42" s="55">
        <v>1</v>
      </c>
      <c r="F42" s="55">
        <v>0</v>
      </c>
      <c r="G42" s="55">
        <v>0</v>
      </c>
      <c r="H42" s="55">
        <v>7</v>
      </c>
      <c r="I42" s="55">
        <v>0</v>
      </c>
      <c r="J42" s="55">
        <v>14</v>
      </c>
      <c r="K42" s="55">
        <v>28</v>
      </c>
      <c r="L42" s="55">
        <v>0</v>
      </c>
      <c r="M42" s="55">
        <v>1</v>
      </c>
      <c r="N42" s="55">
        <v>0</v>
      </c>
      <c r="O42" s="55">
        <v>0</v>
      </c>
      <c r="P42" s="55">
        <v>69</v>
      </c>
    </row>
    <row r="43" spans="1:16" ht="14.25" customHeight="1" x14ac:dyDescent="0.2">
      <c r="A43" s="58" t="str">
        <f>VLOOKUP("&lt;T2Zeilentitel_4&gt;",Uebersetzungen!$B$3:$E$85,Uebersetzungen!$B$2+1,FALSE)</f>
        <v>4 Exakte + Naturwissenschaften</v>
      </c>
      <c r="B43" s="55">
        <v>9</v>
      </c>
      <c r="C43" s="55">
        <v>11</v>
      </c>
      <c r="D43" s="55">
        <v>1</v>
      </c>
      <c r="E43" s="55">
        <v>1</v>
      </c>
      <c r="F43" s="55">
        <v>0</v>
      </c>
      <c r="G43" s="55">
        <v>2</v>
      </c>
      <c r="H43" s="55">
        <v>0</v>
      </c>
      <c r="I43" s="55">
        <v>1</v>
      </c>
      <c r="J43" s="55">
        <v>0</v>
      </c>
      <c r="K43" s="55">
        <v>22</v>
      </c>
      <c r="L43" s="55">
        <v>2</v>
      </c>
      <c r="M43" s="55">
        <v>0</v>
      </c>
      <c r="N43" s="55">
        <v>1</v>
      </c>
      <c r="O43" s="55">
        <v>37</v>
      </c>
      <c r="P43" s="55">
        <v>87</v>
      </c>
    </row>
    <row r="44" spans="1:16" ht="14.25" customHeight="1" x14ac:dyDescent="0.2">
      <c r="A44" s="58" t="str">
        <f>VLOOKUP("&lt;T2Zeilentitel_5&gt;",Uebersetzungen!$B$3:$E$85,Uebersetzungen!$B$2+1,FALSE)</f>
        <v>5 Medizin + Pharmazie</v>
      </c>
      <c r="B44" s="55">
        <v>9</v>
      </c>
      <c r="C44" s="55">
        <v>36</v>
      </c>
      <c r="D44" s="55">
        <v>7</v>
      </c>
      <c r="E44" s="55">
        <v>0</v>
      </c>
      <c r="F44" s="55">
        <v>0</v>
      </c>
      <c r="G44" s="55">
        <v>0</v>
      </c>
      <c r="H44" s="55">
        <v>1</v>
      </c>
      <c r="I44" s="55">
        <v>0</v>
      </c>
      <c r="J44" s="55">
        <v>0</v>
      </c>
      <c r="K44" s="55">
        <v>19</v>
      </c>
      <c r="L44" s="55">
        <v>3</v>
      </c>
      <c r="M44" s="55">
        <v>0</v>
      </c>
      <c r="N44" s="55">
        <v>0</v>
      </c>
      <c r="O44" s="55">
        <v>7</v>
      </c>
      <c r="P44" s="55">
        <v>82</v>
      </c>
    </row>
    <row r="45" spans="1:16" ht="14.25" customHeight="1" x14ac:dyDescent="0.2">
      <c r="A45" s="58" t="str">
        <f>VLOOKUP("&lt;T2Zeilentitel_6&gt;",Uebersetzungen!$B$3:$E$85,Uebersetzungen!$B$2+1,FALSE)</f>
        <v>6 Technische Wissenschaften</v>
      </c>
      <c r="B45" s="55">
        <v>0</v>
      </c>
      <c r="C45" s="55">
        <v>0</v>
      </c>
      <c r="D45" s="55">
        <v>0</v>
      </c>
      <c r="E45" s="55">
        <v>0</v>
      </c>
      <c r="F45" s="55">
        <v>0</v>
      </c>
      <c r="G45" s="55">
        <v>0</v>
      </c>
      <c r="H45" s="55">
        <v>0</v>
      </c>
      <c r="I45" s="55">
        <v>0</v>
      </c>
      <c r="J45" s="55">
        <v>0</v>
      </c>
      <c r="K45" s="55">
        <v>0</v>
      </c>
      <c r="L45" s="55">
        <v>0</v>
      </c>
      <c r="M45" s="55">
        <v>0</v>
      </c>
      <c r="N45" s="55">
        <v>0</v>
      </c>
      <c r="O45" s="55">
        <v>79</v>
      </c>
      <c r="P45" s="55">
        <v>79</v>
      </c>
    </row>
    <row r="46" spans="1:16" ht="14.25" customHeight="1" x14ac:dyDescent="0.2">
      <c r="A46" s="58" t="str">
        <f>VLOOKUP("&lt;T2Zeilentitel_7&gt;",Uebersetzungen!$B$3:$E$85,Uebersetzungen!$B$2+1,FALSE)</f>
        <v>7 Interdisziplinäre + andere</v>
      </c>
      <c r="B46" s="55">
        <v>3</v>
      </c>
      <c r="C46" s="55">
        <v>10</v>
      </c>
      <c r="D46" s="55">
        <v>2</v>
      </c>
      <c r="E46" s="55">
        <v>0</v>
      </c>
      <c r="F46" s="55">
        <v>0</v>
      </c>
      <c r="G46" s="55">
        <v>0</v>
      </c>
      <c r="H46" s="55">
        <v>0</v>
      </c>
      <c r="I46" s="55">
        <v>0</v>
      </c>
      <c r="J46" s="55">
        <v>0</v>
      </c>
      <c r="K46" s="55">
        <v>1</v>
      </c>
      <c r="L46" s="55">
        <v>0</v>
      </c>
      <c r="M46" s="55">
        <v>0</v>
      </c>
      <c r="N46" s="55">
        <v>0</v>
      </c>
      <c r="O46" s="55">
        <v>0</v>
      </c>
      <c r="P46" s="55">
        <v>16</v>
      </c>
    </row>
    <row r="47" spans="1:16" ht="14.25" customHeight="1" x14ac:dyDescent="0.2">
      <c r="A47" s="58" t="str">
        <f>VLOOKUP("&lt;T2Zeilentitel_8&gt;",Uebersetzungen!$B$3:$E$85,Uebersetzungen!$B$2+1,FALSE)</f>
        <v>TOTAL</v>
      </c>
      <c r="B47" s="70">
        <v>29</v>
      </c>
      <c r="C47" s="70">
        <v>104</v>
      </c>
      <c r="D47" s="70">
        <v>22</v>
      </c>
      <c r="E47" s="70">
        <v>7</v>
      </c>
      <c r="F47" s="70">
        <v>1</v>
      </c>
      <c r="G47" s="70">
        <v>7</v>
      </c>
      <c r="H47" s="70">
        <v>11</v>
      </c>
      <c r="I47" s="70">
        <v>2</v>
      </c>
      <c r="J47" s="70">
        <v>46</v>
      </c>
      <c r="K47" s="70">
        <v>158</v>
      </c>
      <c r="L47" s="70">
        <v>6</v>
      </c>
      <c r="M47" s="70">
        <v>2</v>
      </c>
      <c r="N47" s="70">
        <v>1</v>
      </c>
      <c r="O47" s="70">
        <v>123</v>
      </c>
      <c r="P47" s="70">
        <v>519</v>
      </c>
    </row>
    <row r="49" spans="1:1" x14ac:dyDescent="0.2">
      <c r="A49" s="27" t="str">
        <f>VLOOKUP("&lt;Quelle_1&gt;",Uebersetzungen!$B$3:$E$85,Uebersetzungen!$B$2+1,FALSE)</f>
        <v>Quelle: SHIS-BFS</v>
      </c>
    </row>
    <row r="50" spans="1:1" x14ac:dyDescent="0.2">
      <c r="A50" s="27" t="str">
        <f>VLOOKUP("&lt;Aktualisierung&gt;",Uebersetzungen!$B$3:$E$85,Uebersetzungen!$B$2+1,FALSE)</f>
        <v>Letztmals aktualisiert am: 01.11.2024</v>
      </c>
    </row>
  </sheetData>
  <sheetProtection sheet="1" objects="1" scenarios="1"/>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6</xdr:col>
                    <xdr:colOff>590550</xdr:colOff>
                    <xdr:row>1</xdr:row>
                    <xdr:rowOff>123825</xdr:rowOff>
                  </from>
                  <to>
                    <xdr:col>8</xdr:col>
                    <xdr:colOff>419100</xdr:colOff>
                    <xdr:row>2</xdr:row>
                    <xdr:rowOff>161925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6</xdr:col>
                    <xdr:colOff>590550</xdr:colOff>
                    <xdr:row>2</xdr:row>
                    <xdr:rowOff>123825</xdr:rowOff>
                  </from>
                  <to>
                    <xdr:col>9</xdr:col>
                    <xdr:colOff>161925</xdr:colOff>
                    <xdr:row>3</xdr:row>
                    <xdr:rowOff>133350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6</xdr:col>
                    <xdr:colOff>590550</xdr:colOff>
                    <xdr:row>3</xdr:row>
                    <xdr:rowOff>95250</xdr:rowOff>
                  </from>
                  <to>
                    <xdr:col>8</xdr:col>
                    <xdr:colOff>419100</xdr:colOff>
                    <xdr:row>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8"/>
  <sheetViews>
    <sheetView showGridLines="0" workbookViewId="0"/>
  </sheetViews>
  <sheetFormatPr baseColWidth="10" defaultColWidth="9.140625" defaultRowHeight="12.75" x14ac:dyDescent="0.2"/>
  <cols>
    <col min="1" max="1" width="29.7109375" style="1" customWidth="1"/>
    <col min="2" max="16384" width="9.140625" style="1"/>
  </cols>
  <sheetData>
    <row r="1" spans="1:16" s="29" customFormat="1" x14ac:dyDescent="0.2"/>
    <row r="2" spans="1:16" s="29" customFormat="1" ht="15.75" x14ac:dyDescent="0.25">
      <c r="B2" s="30"/>
      <c r="C2" s="31"/>
      <c r="D2" s="31"/>
    </row>
    <row r="3" spans="1:16" s="29" customFormat="1" ht="15.75" x14ac:dyDescent="0.25">
      <c r="B3" s="30"/>
      <c r="C3" s="31"/>
      <c r="D3" s="31"/>
    </row>
    <row r="4" spans="1:16" s="29" customFormat="1" ht="15.75" x14ac:dyDescent="0.25">
      <c r="B4" s="30"/>
      <c r="C4" s="31"/>
      <c r="D4" s="31"/>
    </row>
    <row r="5" spans="1:16" s="29" customFormat="1" x14ac:dyDescent="0.2"/>
    <row r="6" spans="1:16" s="29" customFormat="1" x14ac:dyDescent="0.2"/>
    <row r="7" spans="1:16" s="3" customFormat="1" ht="15.75" customHeight="1" x14ac:dyDescent="0.2">
      <c r="A7" s="62" t="str">
        <f>VLOOKUP("&lt;Fachbereich&gt;",Uebersetzungen!$B$3:$E$85,Uebersetzungen!$B$2+1,FALSE)</f>
        <v>Daten &amp; Statistik</v>
      </c>
      <c r="B7" s="62"/>
    </row>
    <row r="8" spans="1:16" s="2" customFormat="1" x14ac:dyDescent="0.2"/>
    <row r="9" spans="1:16" s="8" customFormat="1" ht="18" x14ac:dyDescent="0.25">
      <c r="A9" s="4" t="str">
        <f>VLOOKUP("&lt;Titel&gt;",Uebersetzungen!$B$3:$E$85,Uebersetzungen!$B$2+1,FALSE)</f>
        <v>Tertiärstufe: Studierende mit Wohnkanton Graubünden 2023-2024</v>
      </c>
      <c r="B9" s="5"/>
      <c r="C9" s="6"/>
      <c r="D9" s="6"/>
      <c r="E9" s="6"/>
      <c r="F9" s="6"/>
      <c r="G9" s="6"/>
      <c r="H9" s="6"/>
      <c r="I9" s="7"/>
    </row>
    <row r="11" spans="1:16" s="17" customFormat="1" x14ac:dyDescent="0.2">
      <c r="A11" s="24" t="str">
        <f>VLOOKUP("&lt;T3Erläuterungen_1&gt;",Uebersetzungen!$B$3:$E$85,Uebersetzungen!$B$2+1,FALSE)</f>
        <v>Erläuterungen zu den Tabellen</v>
      </c>
    </row>
    <row r="12" spans="1:16" s="22" customFormat="1" x14ac:dyDescent="0.2"/>
    <row r="13" spans="1:16" s="22" customFormat="1" x14ac:dyDescent="0.2">
      <c r="A13" s="48" t="str">
        <f>VLOOKUP("&lt;T3Erläuterungen_2&gt;",Uebersetzungen!$B$3:$E$85,Uebersetzungen!$B$2+1,FALSE)</f>
        <v>Studierende</v>
      </c>
    </row>
    <row r="14" spans="1:16" s="22" customFormat="1" ht="51.75" customHeight="1" x14ac:dyDescent="0.2">
      <c r="A14" s="65" t="str">
        <f>VLOOKUP("&lt;T3Erläuterungen_3&gt;",Uebersetzungen!$B$3:$E$85,Uebersetzungen!$B$2+1,FALSE)</f>
        <v>Als Studierende gelten alle an einer schweizerischen universitären Hochschule (UH) immatrikulierten Personen mit der Möglichkeit, ein Hochschulexamen mit min. 60 ECTS zu absolvieren (Hörer/-innen sind somit ausgeschlossen). Ist eine studierende Person an mehr als einer Hochschule immatrikuliert, wird sie nur einmal gezählt.</v>
      </c>
      <c r="B14" s="65"/>
      <c r="C14" s="65"/>
      <c r="D14" s="65"/>
      <c r="E14" s="65"/>
      <c r="F14" s="65"/>
      <c r="G14" s="65"/>
      <c r="H14" s="65"/>
      <c r="I14" s="23"/>
      <c r="J14" s="23"/>
      <c r="K14" s="23"/>
      <c r="L14" s="23"/>
      <c r="M14" s="23"/>
      <c r="N14" s="23"/>
      <c r="O14" s="23"/>
      <c r="P14" s="23"/>
    </row>
    <row r="15" spans="1:16" s="22" customFormat="1" ht="15" x14ac:dyDescent="0.2">
      <c r="A15" s="20"/>
      <c r="C15" s="23"/>
      <c r="D15" s="23"/>
      <c r="E15" s="23"/>
      <c r="F15" s="23"/>
      <c r="G15" s="23"/>
      <c r="H15" s="23"/>
      <c r="I15" s="23"/>
      <c r="J15" s="23"/>
      <c r="K15" s="23"/>
      <c r="L15" s="23"/>
      <c r="M15" s="23"/>
      <c r="N15" s="23"/>
      <c r="O15" s="23"/>
      <c r="P15" s="23"/>
    </row>
    <row r="16" spans="1:16" s="22" customFormat="1" x14ac:dyDescent="0.2">
      <c r="A16" s="48" t="str">
        <f>VLOOKUP("&lt;T3Erläuterungen_4&gt;",Uebersetzungen!$B$3:$E$85,Uebersetzungen!$B$2+1,FALSE)</f>
        <v>Eintritte</v>
      </c>
      <c r="I16" s="23"/>
      <c r="J16" s="23"/>
      <c r="K16" s="23"/>
      <c r="L16" s="23"/>
      <c r="M16" s="23"/>
      <c r="N16" s="23"/>
      <c r="O16" s="23"/>
      <c r="P16" s="23"/>
    </row>
    <row r="17" spans="1:16" s="22" customFormat="1" ht="50.25" customHeight="1" x14ac:dyDescent="0.25">
      <c r="A17" s="65" t="str">
        <f>VLOOKUP("&lt;T3Erläuterungen_5&gt;",Uebersetzungen!$B$3:$E$85,Uebersetzungen!$B$2+1,FALSE)</f>
        <v>Als Eintritte gemäss Schweizerischem Hochschulinformationssystem SHIS gelten alle Personen schweizerischer oder ausländischer Nationalität, die sich zum ersten Mal an einer schweizerischen universitären Hochschule auf Stufe Lizenziat/Diplom oder Bachelor immatrikulieren. Erstimmatrikulierte, die vorher an einer ausländischen Hochschule studiert haben, werden ebenfalls als Eintritte gezählt. HS = Herbstsemester</v>
      </c>
      <c r="B17" s="66"/>
      <c r="C17" s="66"/>
      <c r="D17" s="66"/>
      <c r="E17" s="66"/>
      <c r="F17" s="66"/>
      <c r="G17" s="66"/>
      <c r="H17" s="66"/>
      <c r="I17" s="23"/>
      <c r="J17" s="23"/>
      <c r="K17" s="23"/>
      <c r="L17" s="23"/>
      <c r="M17" s="23"/>
      <c r="N17" s="23"/>
      <c r="O17" s="23"/>
      <c r="P17" s="23"/>
    </row>
    <row r="18" spans="1:16" s="22" customFormat="1" ht="15" x14ac:dyDescent="0.2">
      <c r="A18" s="20"/>
      <c r="C18" s="23"/>
      <c r="D18" s="23"/>
      <c r="E18" s="23"/>
      <c r="F18" s="23"/>
      <c r="G18" s="23"/>
      <c r="H18" s="23"/>
      <c r="I18" s="23"/>
      <c r="J18" s="23"/>
      <c r="K18" s="23"/>
      <c r="L18" s="23"/>
      <c r="M18" s="23"/>
      <c r="N18" s="23"/>
      <c r="O18" s="23"/>
      <c r="P18" s="23"/>
    </row>
    <row r="19" spans="1:16" s="22" customFormat="1" x14ac:dyDescent="0.2">
      <c r="A19" s="48" t="str">
        <f>VLOOKUP("&lt;T3Erläuterungen_6&gt;",Uebersetzungen!$B$3:$E$85,Uebersetzungen!$B$2+1,FALSE)</f>
        <v>Abschlussexamen</v>
      </c>
      <c r="I19" s="23"/>
      <c r="J19" s="23"/>
      <c r="K19" s="23"/>
      <c r="L19" s="23"/>
      <c r="M19" s="23"/>
      <c r="N19" s="23"/>
      <c r="O19" s="23"/>
      <c r="P19" s="23"/>
    </row>
    <row r="20" spans="1:16" s="22" customFormat="1" ht="76.5" customHeight="1" x14ac:dyDescent="0.25">
      <c r="A20" s="65" t="str">
        <f>VLOOKUP("&lt;T3Erläuterungen_7&gt;",Uebersetzungen!$B$3:$E$85,Uebersetzungen!$B$2+1,FALSE)</f>
        <v>Unter Abschlussexamen wird jede Person pro Kalenderjahr höchstens einmal erfasst, und zwar an der Hochschule, an der das Examen bestanden wurde. Besteht eine Person mehr als ein Examen im angegebenen Kalenderjahr, so wird das zuletzt bestandene gezählt. Nicht in dieser Statistik enthalten sind Examen, die durch ausseruniversitäre Instanzen erteilt werden (z.B. höhere Lehramtspatente oder Advokatur- und Notariatsexamen - siehe online "Abschlüsse an den universitären Hochschulen; Basistabellen", su-d-15.03.04.04.01), sowie Examen ohne Angaben über die Personen, die sie bestanden haben.</v>
      </c>
      <c r="B20" s="66"/>
      <c r="C20" s="66"/>
      <c r="D20" s="66"/>
      <c r="E20" s="66"/>
      <c r="F20" s="66"/>
      <c r="G20" s="66"/>
      <c r="H20" s="66"/>
      <c r="I20" s="23"/>
      <c r="J20" s="23"/>
      <c r="K20" s="23"/>
      <c r="L20" s="23"/>
      <c r="M20" s="23"/>
      <c r="N20" s="23"/>
      <c r="O20" s="23"/>
      <c r="P20" s="23"/>
    </row>
    <row r="21" spans="1:16" s="22" customFormat="1" ht="15" x14ac:dyDescent="0.2">
      <c r="A21" s="20"/>
      <c r="C21" s="23"/>
      <c r="D21" s="23"/>
      <c r="E21" s="23"/>
      <c r="F21" s="23"/>
      <c r="G21" s="23"/>
      <c r="H21" s="23"/>
      <c r="I21" s="23"/>
      <c r="J21" s="23"/>
      <c r="K21" s="23"/>
      <c r="L21" s="23"/>
      <c r="M21" s="23"/>
      <c r="N21" s="23"/>
      <c r="O21" s="23"/>
      <c r="P21" s="23"/>
    </row>
    <row r="22" spans="1:16" s="22" customFormat="1" x14ac:dyDescent="0.2">
      <c r="A22" s="48" t="str">
        <f>VLOOKUP("&lt;T3Erläuterungen_8&gt;",Uebersetzungen!$B$3:$E$85,Uebersetzungen!$B$2+1,FALSE)</f>
        <v>Universitäre Hochschulen</v>
      </c>
      <c r="I22" s="23"/>
      <c r="J22" s="23"/>
      <c r="K22" s="23"/>
      <c r="L22" s="23"/>
      <c r="M22" s="23"/>
      <c r="N22" s="23"/>
      <c r="O22" s="23"/>
      <c r="P22" s="23"/>
    </row>
    <row r="23" spans="1:16" s="22" customFormat="1" ht="51.75" customHeight="1" x14ac:dyDescent="0.25">
      <c r="A23" s="65" t="str">
        <f>VLOOKUP("&lt;T3Erläuterungen_9&gt;",Uebersetzungen!$B$3:$E$85,Uebersetzungen!$B$2+1,FALSE)</f>
        <v>Als universitäre Hochschulen gelten die zehn kantonalen Universitäten Basel (BS), Bern (BE), Freiburg (FR), Genf (GE), Lausanne (LS), Luzern (LU), Neuenburg (NE), St. Gallen (SG), Italienische Schweiz (USI) und Zürich (ZH), die beiden Eidge-nössischen Technischen Hochschulen Lausanne (EPFL) und Zürich (ETHZ) sowie die ‚Anderen universitären Institutionen’ (Fernstudien Schweiz, IHEID).</v>
      </c>
      <c r="B23" s="66"/>
      <c r="C23" s="66"/>
      <c r="D23" s="66"/>
      <c r="E23" s="66"/>
      <c r="F23" s="66"/>
      <c r="G23" s="66"/>
      <c r="H23" s="66"/>
      <c r="I23" s="23"/>
      <c r="J23" s="23"/>
      <c r="K23" s="23"/>
      <c r="L23" s="23"/>
      <c r="M23" s="23"/>
      <c r="N23" s="23"/>
      <c r="O23" s="23"/>
      <c r="P23" s="23"/>
    </row>
    <row r="24" spans="1:16" s="22" customFormat="1" ht="15" x14ac:dyDescent="0.2">
      <c r="A24" s="20"/>
      <c r="C24" s="23"/>
      <c r="D24" s="23"/>
      <c r="E24" s="23"/>
      <c r="F24" s="23"/>
      <c r="G24" s="23"/>
      <c r="H24" s="23"/>
      <c r="I24" s="23"/>
      <c r="J24" s="23"/>
      <c r="K24" s="23"/>
      <c r="L24" s="23"/>
      <c r="M24" s="23"/>
      <c r="N24" s="23"/>
      <c r="O24" s="23"/>
      <c r="P24" s="23"/>
    </row>
    <row r="25" spans="1:16" s="22" customFormat="1" x14ac:dyDescent="0.2">
      <c r="A25" s="48" t="str">
        <f>VLOOKUP("&lt;T3Erläuterungen_10&gt;",Uebersetzungen!$B$3:$E$85,Uebersetzungen!$B$2+1,FALSE)</f>
        <v>Herkunftskanton/-bezirk</v>
      </c>
      <c r="I25" s="23"/>
      <c r="J25" s="23"/>
      <c r="K25" s="23"/>
      <c r="L25" s="23"/>
      <c r="M25" s="23"/>
      <c r="N25" s="23"/>
      <c r="O25" s="23"/>
      <c r="P25" s="23"/>
    </row>
    <row r="26" spans="1:16" s="22" customFormat="1" ht="51.75" customHeight="1" x14ac:dyDescent="0.25">
      <c r="A26" s="65" t="str">
        <f>VLOOKUP("&lt;T3Erläuterungen_11&gt;",Uebersetzungen!$B$3:$E$85,Uebersetzungen!$B$2+1,FALSE)</f>
        <v>Als Herkunftskanton/-bezirk gilt jener Kanton/Bezirk, in welchem sich der gesetzliche Wohnsitz der Studierenden (gemäss Art. 23 und 26 ZGB) zur Zeit des Erwerbs des Studienberechtigungsausweises (z.B. Gymnasiale Matura) befand. Da bei Er-stimmatrikulation auf Stufe ‘universitäre Weiterbildung’ der Wohnort vor Studienbeginn nicht zwingend erhoben werden muss, kann es zu kleinen Inkohärenzen in den Daten kommen.</v>
      </c>
      <c r="B26" s="66"/>
      <c r="C26" s="66"/>
      <c r="D26" s="66"/>
      <c r="E26" s="66"/>
      <c r="F26" s="66"/>
      <c r="G26" s="66"/>
      <c r="H26" s="66"/>
      <c r="I26" s="23"/>
      <c r="J26" s="23"/>
      <c r="K26" s="23"/>
      <c r="L26" s="23"/>
      <c r="M26" s="23"/>
      <c r="N26" s="23"/>
      <c r="O26" s="23"/>
      <c r="P26" s="23"/>
    </row>
    <row r="27" spans="1:16" s="22" customFormat="1" ht="15" x14ac:dyDescent="0.2">
      <c r="A27" s="20"/>
      <c r="C27" s="23"/>
      <c r="D27" s="23"/>
      <c r="E27" s="23"/>
      <c r="F27" s="23"/>
      <c r="G27" s="23"/>
      <c r="H27" s="23"/>
      <c r="I27" s="23"/>
      <c r="J27" s="23"/>
      <c r="K27" s="23"/>
      <c r="L27" s="23"/>
      <c r="M27" s="23"/>
      <c r="N27" s="23"/>
      <c r="O27" s="23"/>
      <c r="P27" s="23"/>
    </row>
    <row r="28" spans="1:16" s="22" customFormat="1" x14ac:dyDescent="0.2">
      <c r="A28" s="48" t="str">
        <f>VLOOKUP("&lt;T3Erläuterungen_12&gt;",Uebersetzungen!$B$3:$E$85,Uebersetzungen!$B$2+1,FALSE)</f>
        <v>Studierendenanteil</v>
      </c>
      <c r="I28" s="23"/>
      <c r="J28" s="23"/>
      <c r="K28" s="23"/>
      <c r="L28" s="23"/>
      <c r="M28" s="23"/>
      <c r="N28" s="23"/>
      <c r="O28" s="23"/>
      <c r="P28" s="23"/>
    </row>
    <row r="29" spans="1:16" s="22" customFormat="1" ht="26.25" customHeight="1" x14ac:dyDescent="0.25">
      <c r="A29" s="65" t="str">
        <f>VLOOKUP("&lt;T3Erläuterungen_13&gt;",Uebersetzungen!$B$3:$E$85,Uebersetzungen!$B$2+1,FALSE)</f>
        <v>Der Studierendenanteil wird in Promille der ständigen Wohnbevölkerung angegeben. Als Berechnungsgrundlage dienen die STATPOP-Daten (Stand 31.12.).</v>
      </c>
      <c r="B29" s="66"/>
      <c r="C29" s="66"/>
      <c r="D29" s="66"/>
      <c r="E29" s="66"/>
      <c r="F29" s="66"/>
      <c r="G29" s="66"/>
      <c r="H29" s="66"/>
      <c r="I29" s="23"/>
      <c r="J29" s="23"/>
      <c r="K29" s="23"/>
      <c r="L29" s="23"/>
      <c r="M29" s="23"/>
      <c r="N29" s="23"/>
      <c r="O29" s="23"/>
      <c r="P29" s="23"/>
    </row>
    <row r="30" spans="1:16" s="22" customFormat="1" ht="15" x14ac:dyDescent="0.2">
      <c r="A30" s="20"/>
      <c r="C30" s="23"/>
      <c r="D30" s="23"/>
      <c r="E30" s="23"/>
      <c r="F30" s="23"/>
      <c r="G30" s="23"/>
      <c r="H30" s="23"/>
      <c r="I30" s="23"/>
      <c r="J30" s="23"/>
      <c r="K30" s="23"/>
      <c r="L30" s="23"/>
      <c r="M30" s="23"/>
      <c r="N30" s="23"/>
      <c r="O30" s="23"/>
      <c r="P30" s="23"/>
    </row>
    <row r="31" spans="1:16" s="22" customFormat="1" x14ac:dyDescent="0.2">
      <c r="A31" s="48" t="str">
        <f>VLOOKUP("&lt;T3Erläuterungen_14&gt;",Uebersetzungen!$B$3:$E$85,Uebersetzungen!$B$2+1,FALSE)</f>
        <v>Männer- bzw. Frauenquote</v>
      </c>
      <c r="I31" s="23"/>
      <c r="J31" s="23"/>
      <c r="K31" s="23"/>
      <c r="L31" s="23"/>
      <c r="M31" s="23"/>
      <c r="N31" s="23"/>
      <c r="O31" s="23"/>
      <c r="P31" s="23"/>
    </row>
    <row r="32" spans="1:16" s="22" customFormat="1" ht="27" customHeight="1" x14ac:dyDescent="0.25">
      <c r="A32" s="65" t="str">
        <f>VLOOKUP("&lt;T3Erläuterungen_15&gt;",Uebersetzungen!$B$3:$E$85,Uebersetzungen!$B$2+1,FALSE)</f>
        <v>Als Männer- bzw. Frauenquote gilt der prozentuale Anteil der männlichen (% M/H) bzw. weiblichen (% F) Studierenden an der Gesamtzahl der Studierenden (Total) aus dem entsprechenden Gebiet.</v>
      </c>
      <c r="B32" s="66"/>
      <c r="C32" s="66"/>
      <c r="D32" s="66"/>
      <c r="E32" s="66"/>
      <c r="F32" s="66"/>
      <c r="G32" s="66"/>
      <c r="H32" s="66"/>
      <c r="I32" s="23"/>
      <c r="J32" s="23"/>
      <c r="K32" s="23"/>
      <c r="L32" s="23"/>
      <c r="M32" s="23"/>
      <c r="N32" s="23"/>
      <c r="O32" s="23"/>
      <c r="P32" s="23"/>
    </row>
    <row r="33" spans="1:16" s="22" customFormat="1" ht="15" x14ac:dyDescent="0.2">
      <c r="A33" s="20"/>
      <c r="C33" s="23"/>
      <c r="D33" s="23"/>
      <c r="E33" s="23"/>
      <c r="F33" s="23"/>
      <c r="G33" s="23"/>
      <c r="H33" s="23"/>
      <c r="I33" s="23"/>
      <c r="J33" s="23"/>
      <c r="K33" s="23"/>
      <c r="L33" s="23"/>
      <c r="M33" s="23"/>
      <c r="N33" s="23"/>
      <c r="O33" s="23"/>
      <c r="P33" s="23"/>
    </row>
    <row r="34" spans="1:16" s="22" customFormat="1" x14ac:dyDescent="0.2">
      <c r="A34" s="27" t="str">
        <f>VLOOKUP("&lt;Quelle_1&gt;",Uebersetzungen!$B$3:$E$85,Uebersetzungen!$B$2+1,FALSE)</f>
        <v>Quelle: SHIS-BFS</v>
      </c>
      <c r="C34" s="23"/>
      <c r="D34" s="23"/>
      <c r="E34" s="23"/>
      <c r="F34" s="23"/>
      <c r="G34" s="23"/>
      <c r="H34" s="23"/>
      <c r="I34" s="23"/>
      <c r="J34" s="23"/>
      <c r="K34" s="23"/>
      <c r="L34" s="23"/>
      <c r="M34" s="23"/>
      <c r="N34" s="23"/>
      <c r="O34" s="23"/>
      <c r="P34" s="23"/>
    </row>
    <row r="35" spans="1:16" s="22" customFormat="1" x14ac:dyDescent="0.2">
      <c r="A35" s="27" t="str">
        <f>VLOOKUP("&lt;Aktualisierung&gt;",Uebersetzungen!$B$3:$E$85,Uebersetzungen!$B$2+1,FALSE)</f>
        <v>Letztmals aktualisiert am: 01.11.2024</v>
      </c>
      <c r="C35" s="23"/>
      <c r="D35" s="23"/>
      <c r="E35" s="23"/>
      <c r="F35" s="23"/>
      <c r="G35" s="23"/>
      <c r="H35" s="23"/>
      <c r="I35" s="23"/>
      <c r="J35" s="23"/>
      <c r="K35" s="23"/>
      <c r="L35" s="23"/>
      <c r="M35" s="23"/>
      <c r="N35" s="23"/>
      <c r="O35" s="23"/>
      <c r="P35" s="23"/>
    </row>
    <row r="36" spans="1:16" s="22" customFormat="1" ht="15" x14ac:dyDescent="0.2">
      <c r="A36" s="20"/>
      <c r="C36" s="23"/>
      <c r="D36" s="23"/>
      <c r="E36" s="23"/>
      <c r="F36" s="23"/>
      <c r="G36" s="23"/>
      <c r="H36" s="23"/>
      <c r="I36" s="23"/>
      <c r="J36" s="23"/>
      <c r="K36" s="23"/>
      <c r="L36" s="23"/>
      <c r="M36" s="23"/>
      <c r="N36" s="23"/>
      <c r="O36" s="23"/>
      <c r="P36" s="23"/>
    </row>
    <row r="37" spans="1:16" s="22" customFormat="1" ht="15" x14ac:dyDescent="0.2">
      <c r="A37" s="20"/>
      <c r="C37" s="23"/>
      <c r="D37" s="23"/>
      <c r="E37" s="23"/>
      <c r="F37" s="23"/>
      <c r="G37" s="23"/>
      <c r="H37" s="23"/>
      <c r="I37" s="23"/>
      <c r="J37" s="23"/>
      <c r="K37" s="23"/>
      <c r="L37" s="23"/>
      <c r="M37" s="23"/>
      <c r="N37" s="23"/>
      <c r="O37" s="23"/>
      <c r="P37" s="23"/>
    </row>
    <row r="38" spans="1:16" s="22" customFormat="1" x14ac:dyDescent="0.2"/>
    <row r="39" spans="1:16" s="22" customFormat="1" x14ac:dyDescent="0.2"/>
    <row r="40" spans="1:16" s="22" customFormat="1" x14ac:dyDescent="0.2"/>
    <row r="41" spans="1:16" s="22" customFormat="1" x14ac:dyDescent="0.2"/>
    <row r="42" spans="1:16" s="22" customFormat="1" x14ac:dyDescent="0.2"/>
    <row r="43" spans="1:16" s="22" customFormat="1" x14ac:dyDescent="0.2">
      <c r="A43" s="19"/>
      <c r="C43" s="23"/>
      <c r="D43" s="23"/>
      <c r="E43" s="23"/>
      <c r="F43" s="23"/>
      <c r="G43" s="23"/>
      <c r="H43" s="23"/>
      <c r="I43" s="23"/>
      <c r="J43" s="23"/>
      <c r="K43" s="23"/>
      <c r="L43" s="23"/>
      <c r="M43" s="23"/>
      <c r="N43" s="23"/>
      <c r="O43" s="23"/>
      <c r="P43" s="23"/>
    </row>
    <row r="44" spans="1:16" s="22" customFormat="1" ht="15" x14ac:dyDescent="0.2">
      <c r="A44" s="20"/>
      <c r="C44" s="23"/>
      <c r="D44" s="23"/>
      <c r="E44" s="23"/>
      <c r="F44" s="23"/>
      <c r="G44" s="23"/>
      <c r="H44" s="23"/>
      <c r="I44" s="23"/>
      <c r="J44" s="23"/>
      <c r="K44" s="23"/>
      <c r="L44" s="23"/>
      <c r="M44" s="23"/>
      <c r="N44" s="23"/>
      <c r="O44" s="23"/>
      <c r="P44" s="23"/>
    </row>
    <row r="45" spans="1:16" s="22" customFormat="1" ht="15" x14ac:dyDescent="0.2">
      <c r="A45" s="20"/>
      <c r="C45" s="23"/>
      <c r="D45" s="23"/>
      <c r="E45" s="23"/>
      <c r="F45" s="23"/>
      <c r="G45" s="23"/>
      <c r="H45" s="23"/>
      <c r="I45" s="23"/>
      <c r="J45" s="23"/>
      <c r="K45" s="23"/>
      <c r="L45" s="23"/>
      <c r="M45" s="23"/>
      <c r="N45" s="23"/>
      <c r="O45" s="23"/>
      <c r="P45" s="23"/>
    </row>
    <row r="46" spans="1:16" s="22" customFormat="1" x14ac:dyDescent="0.2">
      <c r="A46" s="19"/>
      <c r="C46" s="23"/>
      <c r="D46" s="23"/>
      <c r="E46" s="23"/>
      <c r="F46" s="23"/>
      <c r="G46" s="23"/>
      <c r="H46" s="23"/>
      <c r="I46" s="23"/>
      <c r="J46" s="23"/>
      <c r="K46" s="23"/>
      <c r="L46" s="23"/>
      <c r="M46" s="23"/>
      <c r="N46" s="23"/>
      <c r="O46" s="23"/>
      <c r="P46" s="23"/>
    </row>
    <row r="47" spans="1:16" s="22" customFormat="1" ht="15" x14ac:dyDescent="0.2">
      <c r="A47" s="20"/>
      <c r="C47" s="23"/>
      <c r="D47" s="23"/>
      <c r="E47" s="23"/>
      <c r="F47" s="23"/>
      <c r="G47" s="23"/>
      <c r="H47" s="23"/>
      <c r="I47" s="23"/>
      <c r="J47" s="23"/>
      <c r="K47" s="23"/>
      <c r="L47" s="23"/>
      <c r="M47" s="23"/>
      <c r="N47" s="23"/>
      <c r="O47" s="23"/>
      <c r="P47" s="23"/>
    </row>
    <row r="48" spans="1:16" s="22" customFormat="1" ht="15" x14ac:dyDescent="0.2">
      <c r="A48" s="20"/>
      <c r="C48" s="23"/>
      <c r="D48" s="23"/>
      <c r="E48" s="23"/>
      <c r="F48" s="23"/>
      <c r="G48" s="23"/>
      <c r="H48" s="23"/>
      <c r="I48" s="23"/>
      <c r="J48" s="23"/>
      <c r="K48" s="23"/>
      <c r="L48" s="23"/>
      <c r="M48" s="23"/>
      <c r="N48" s="23"/>
      <c r="O48" s="23"/>
      <c r="P48" s="23"/>
    </row>
    <row r="49" spans="1:16" s="22" customFormat="1" x14ac:dyDescent="0.2">
      <c r="A49" s="19"/>
      <c r="C49" s="23"/>
      <c r="D49" s="23"/>
      <c r="E49" s="23"/>
      <c r="F49" s="23"/>
      <c r="G49" s="23"/>
      <c r="H49" s="23"/>
      <c r="I49" s="23"/>
      <c r="J49" s="23"/>
      <c r="K49" s="23"/>
      <c r="L49" s="23"/>
      <c r="M49" s="23"/>
      <c r="N49" s="23"/>
      <c r="O49" s="23"/>
      <c r="P49" s="23"/>
    </row>
    <row r="50" spans="1:16" s="22" customFormat="1" ht="15" x14ac:dyDescent="0.2">
      <c r="A50" s="20"/>
      <c r="C50" s="23"/>
      <c r="D50" s="23"/>
      <c r="E50" s="23"/>
      <c r="F50" s="23"/>
      <c r="G50" s="23"/>
      <c r="H50" s="23"/>
      <c r="I50" s="23"/>
      <c r="J50" s="23"/>
      <c r="K50" s="23"/>
      <c r="L50" s="23"/>
      <c r="M50" s="23"/>
      <c r="N50" s="23"/>
      <c r="O50" s="23"/>
      <c r="P50" s="23"/>
    </row>
    <row r="51" spans="1:16" s="22" customFormat="1" ht="15" x14ac:dyDescent="0.2">
      <c r="A51" s="20"/>
      <c r="C51" s="23"/>
      <c r="D51" s="23"/>
      <c r="E51" s="23"/>
      <c r="F51" s="23"/>
      <c r="G51" s="23"/>
      <c r="H51" s="23"/>
      <c r="I51" s="23"/>
      <c r="J51" s="23"/>
      <c r="K51" s="23"/>
      <c r="L51" s="23"/>
      <c r="M51" s="23"/>
      <c r="N51" s="23"/>
      <c r="O51" s="23"/>
      <c r="P51" s="23"/>
    </row>
    <row r="52" spans="1:16" s="22" customFormat="1" x14ac:dyDescent="0.2">
      <c r="A52" s="19"/>
      <c r="C52" s="23"/>
      <c r="D52" s="23"/>
      <c r="E52" s="23"/>
      <c r="F52" s="23"/>
      <c r="G52" s="23"/>
      <c r="H52" s="23"/>
      <c r="I52" s="23"/>
      <c r="J52" s="23"/>
      <c r="K52" s="23"/>
      <c r="L52" s="23"/>
      <c r="M52" s="23"/>
      <c r="N52" s="23"/>
      <c r="O52" s="23"/>
      <c r="P52" s="23"/>
    </row>
    <row r="53" spans="1:16" s="22" customFormat="1" ht="15" x14ac:dyDescent="0.2">
      <c r="A53" s="20"/>
      <c r="C53" s="23"/>
      <c r="D53" s="23"/>
      <c r="E53" s="23"/>
      <c r="F53" s="23"/>
      <c r="G53" s="23"/>
      <c r="H53" s="23"/>
      <c r="I53" s="23"/>
      <c r="J53" s="23"/>
      <c r="K53" s="23"/>
      <c r="L53" s="23"/>
      <c r="M53" s="23"/>
      <c r="N53" s="23"/>
      <c r="O53" s="23"/>
      <c r="P53" s="23"/>
    </row>
    <row r="54" spans="1:16" s="22" customFormat="1" ht="15" x14ac:dyDescent="0.2">
      <c r="A54" s="20"/>
      <c r="C54" s="23"/>
      <c r="D54" s="23"/>
      <c r="E54" s="23"/>
      <c r="F54" s="23"/>
      <c r="G54" s="23"/>
      <c r="H54" s="23"/>
      <c r="I54" s="23"/>
      <c r="J54" s="23"/>
      <c r="K54" s="23"/>
      <c r="L54" s="23"/>
      <c r="M54" s="23"/>
      <c r="N54" s="23"/>
      <c r="O54" s="23"/>
      <c r="P54" s="23"/>
    </row>
    <row r="55" spans="1:16" s="22" customFormat="1" x14ac:dyDescent="0.2">
      <c r="A55" s="19"/>
      <c r="C55" s="23"/>
      <c r="D55" s="23"/>
      <c r="E55" s="23"/>
      <c r="F55" s="23"/>
      <c r="G55" s="23"/>
      <c r="H55" s="23"/>
      <c r="I55" s="23"/>
      <c r="J55" s="23"/>
      <c r="K55" s="23"/>
      <c r="L55" s="23"/>
      <c r="M55" s="23"/>
      <c r="N55" s="23"/>
      <c r="O55" s="23"/>
      <c r="P55" s="23"/>
    </row>
    <row r="56" spans="1:16" s="22" customFormat="1" ht="15" x14ac:dyDescent="0.2">
      <c r="A56" s="20"/>
      <c r="C56" s="23"/>
      <c r="D56" s="23"/>
      <c r="E56" s="23"/>
      <c r="F56" s="23"/>
      <c r="G56" s="23"/>
      <c r="H56" s="23"/>
      <c r="I56" s="23"/>
      <c r="J56" s="23"/>
      <c r="K56" s="23"/>
      <c r="L56" s="23"/>
      <c r="M56" s="23"/>
      <c r="N56" s="23"/>
      <c r="O56" s="23"/>
      <c r="P56" s="23"/>
    </row>
    <row r="57" spans="1:16" s="22" customFormat="1" ht="15" x14ac:dyDescent="0.2">
      <c r="A57" s="20"/>
      <c r="C57" s="23"/>
      <c r="D57" s="23"/>
      <c r="E57" s="23"/>
      <c r="F57" s="23"/>
      <c r="G57" s="23"/>
      <c r="H57" s="23"/>
      <c r="I57" s="23"/>
      <c r="J57" s="23"/>
      <c r="K57" s="23"/>
      <c r="L57" s="23"/>
      <c r="M57" s="23"/>
      <c r="N57" s="23"/>
      <c r="O57" s="23"/>
      <c r="P57" s="23"/>
    </row>
    <row r="58" spans="1:16" s="22" customFormat="1" x14ac:dyDescent="0.2">
      <c r="A58" s="19"/>
      <c r="C58" s="23"/>
      <c r="D58" s="23"/>
      <c r="E58" s="23"/>
      <c r="F58" s="23"/>
      <c r="G58" s="23"/>
      <c r="H58" s="23"/>
      <c r="I58" s="23"/>
      <c r="J58" s="23"/>
      <c r="K58" s="23"/>
      <c r="L58" s="23"/>
      <c r="M58" s="23"/>
      <c r="N58" s="23"/>
      <c r="O58" s="23"/>
      <c r="P58" s="23"/>
    </row>
    <row r="59" spans="1:16" s="22" customFormat="1" ht="15" x14ac:dyDescent="0.2">
      <c r="A59" s="20"/>
      <c r="C59" s="23"/>
      <c r="D59" s="23"/>
      <c r="E59" s="23"/>
      <c r="F59" s="23"/>
      <c r="G59" s="23"/>
      <c r="H59" s="23"/>
      <c r="I59" s="23"/>
      <c r="J59" s="23"/>
      <c r="K59" s="23"/>
      <c r="L59" s="23"/>
      <c r="M59" s="23"/>
      <c r="N59" s="23"/>
      <c r="O59" s="23"/>
      <c r="P59" s="23"/>
    </row>
    <row r="60" spans="1:16" s="22" customFormat="1" ht="15" x14ac:dyDescent="0.2">
      <c r="A60" s="20"/>
      <c r="C60" s="23"/>
      <c r="D60" s="23"/>
      <c r="E60" s="23"/>
      <c r="F60" s="23"/>
      <c r="G60" s="23"/>
      <c r="H60" s="23"/>
      <c r="I60" s="23"/>
      <c r="J60" s="23"/>
      <c r="K60" s="23"/>
      <c r="L60" s="23"/>
      <c r="M60" s="23"/>
      <c r="N60" s="23"/>
      <c r="O60" s="23"/>
      <c r="P60" s="23"/>
    </row>
    <row r="61" spans="1:16" s="22" customFormat="1" x14ac:dyDescent="0.2">
      <c r="A61" s="19"/>
      <c r="C61" s="23"/>
      <c r="D61" s="23"/>
      <c r="E61" s="23"/>
      <c r="F61" s="23"/>
      <c r="G61" s="23"/>
      <c r="H61" s="23"/>
      <c r="I61" s="23"/>
      <c r="J61" s="23"/>
      <c r="K61" s="23"/>
      <c r="L61" s="23"/>
      <c r="M61" s="23"/>
      <c r="N61" s="23"/>
      <c r="O61" s="23"/>
      <c r="P61" s="23"/>
    </row>
    <row r="62" spans="1:16" s="22" customFormat="1" ht="15" x14ac:dyDescent="0.2">
      <c r="A62" s="20"/>
      <c r="C62" s="23"/>
      <c r="D62" s="23"/>
      <c r="E62" s="23"/>
      <c r="F62" s="23"/>
      <c r="G62" s="23"/>
      <c r="H62" s="23"/>
      <c r="I62" s="23"/>
      <c r="J62" s="23"/>
      <c r="K62" s="23"/>
      <c r="L62" s="23"/>
      <c r="M62" s="23"/>
      <c r="N62" s="23"/>
      <c r="O62" s="23"/>
      <c r="P62" s="23"/>
    </row>
    <row r="63" spans="1:16" s="22" customFormat="1" ht="15" x14ac:dyDescent="0.2">
      <c r="A63" s="20"/>
      <c r="C63" s="23"/>
      <c r="D63" s="23"/>
      <c r="E63" s="23"/>
      <c r="F63" s="23"/>
      <c r="G63" s="23"/>
      <c r="H63" s="23"/>
      <c r="I63" s="23"/>
      <c r="J63" s="23"/>
      <c r="K63" s="23"/>
      <c r="L63" s="23"/>
      <c r="M63" s="23"/>
      <c r="N63" s="23"/>
      <c r="O63" s="23"/>
      <c r="P63" s="23"/>
    </row>
    <row r="64" spans="1:16" s="22" customFormat="1" x14ac:dyDescent="0.2">
      <c r="A64" s="19"/>
      <c r="C64" s="23"/>
      <c r="D64" s="23"/>
      <c r="E64" s="23"/>
      <c r="F64" s="23"/>
      <c r="G64" s="23"/>
      <c r="H64" s="23"/>
      <c r="I64" s="23"/>
      <c r="J64" s="23"/>
      <c r="K64" s="23"/>
      <c r="L64" s="23"/>
      <c r="M64" s="23"/>
      <c r="N64" s="23"/>
      <c r="O64" s="23"/>
      <c r="P64" s="23"/>
    </row>
    <row r="65" spans="1:16" s="22" customFormat="1" ht="15" x14ac:dyDescent="0.2">
      <c r="A65" s="20"/>
      <c r="C65" s="23"/>
      <c r="D65" s="23"/>
      <c r="E65" s="23"/>
      <c r="F65" s="23"/>
      <c r="G65" s="23"/>
      <c r="H65" s="23"/>
      <c r="I65" s="23"/>
      <c r="J65" s="23"/>
      <c r="K65" s="23"/>
      <c r="L65" s="23"/>
      <c r="M65" s="23"/>
      <c r="N65" s="23"/>
      <c r="O65" s="23"/>
      <c r="P65" s="23"/>
    </row>
    <row r="66" spans="1:16" s="22" customFormat="1" ht="15" x14ac:dyDescent="0.2">
      <c r="A66" s="20"/>
      <c r="C66" s="23"/>
      <c r="D66" s="23"/>
      <c r="E66" s="23"/>
      <c r="F66" s="23"/>
      <c r="G66" s="23"/>
      <c r="H66" s="23"/>
      <c r="I66" s="23"/>
      <c r="J66" s="23"/>
      <c r="K66" s="23"/>
      <c r="L66" s="23"/>
      <c r="M66" s="23"/>
      <c r="N66" s="23"/>
      <c r="O66" s="23"/>
      <c r="P66" s="23"/>
    </row>
    <row r="67" spans="1:16" s="22" customFormat="1" x14ac:dyDescent="0.2"/>
    <row r="68" spans="1:16" s="22" customFormat="1" x14ac:dyDescent="0.2"/>
    <row r="69" spans="1:16" s="22" customFormat="1" x14ac:dyDescent="0.2"/>
    <row r="70" spans="1:16" s="22" customFormat="1" x14ac:dyDescent="0.2"/>
    <row r="71" spans="1:16" s="22" customFormat="1" x14ac:dyDescent="0.2"/>
    <row r="72" spans="1:16" s="22" customFormat="1" x14ac:dyDescent="0.2">
      <c r="A72" s="19"/>
      <c r="C72" s="23"/>
      <c r="D72" s="23"/>
      <c r="E72" s="23"/>
      <c r="F72" s="23"/>
      <c r="G72" s="23"/>
      <c r="H72" s="23"/>
      <c r="I72" s="23"/>
      <c r="J72" s="23"/>
      <c r="K72" s="23"/>
      <c r="L72" s="23"/>
      <c r="M72" s="23"/>
      <c r="N72" s="23"/>
      <c r="O72" s="23"/>
      <c r="P72" s="23"/>
    </row>
    <row r="73" spans="1:16" s="22" customFormat="1" ht="15" x14ac:dyDescent="0.2">
      <c r="A73" s="20"/>
      <c r="C73" s="23"/>
      <c r="D73" s="23"/>
      <c r="E73" s="23"/>
      <c r="F73" s="23"/>
      <c r="G73" s="23"/>
      <c r="H73" s="23"/>
      <c r="I73" s="23"/>
      <c r="J73" s="23"/>
      <c r="K73" s="23"/>
      <c r="L73" s="23"/>
      <c r="M73" s="23"/>
      <c r="N73" s="23"/>
      <c r="O73" s="23"/>
      <c r="P73" s="23"/>
    </row>
    <row r="74" spans="1:16" s="22" customFormat="1" ht="15" x14ac:dyDescent="0.2">
      <c r="A74" s="20"/>
      <c r="C74" s="23"/>
      <c r="D74" s="23"/>
      <c r="E74" s="23"/>
      <c r="F74" s="23"/>
      <c r="G74" s="23"/>
      <c r="H74" s="23"/>
      <c r="I74" s="23"/>
      <c r="J74" s="23"/>
      <c r="K74" s="23"/>
      <c r="L74" s="23"/>
      <c r="M74" s="23"/>
      <c r="N74" s="23"/>
      <c r="O74" s="23"/>
      <c r="P74" s="23"/>
    </row>
    <row r="75" spans="1:16" s="22" customFormat="1" x14ac:dyDescent="0.2">
      <c r="A75" s="19"/>
      <c r="C75" s="23"/>
      <c r="D75" s="23"/>
      <c r="E75" s="23"/>
      <c r="F75" s="23"/>
      <c r="G75" s="23"/>
      <c r="H75" s="23"/>
      <c r="I75" s="23"/>
      <c r="J75" s="23"/>
      <c r="K75" s="23"/>
      <c r="L75" s="23"/>
      <c r="M75" s="23"/>
      <c r="N75" s="23"/>
      <c r="O75" s="23"/>
      <c r="P75" s="23"/>
    </row>
    <row r="76" spans="1:16" s="22" customFormat="1" ht="15" x14ac:dyDescent="0.2">
      <c r="A76" s="20"/>
      <c r="C76" s="23"/>
      <c r="D76" s="23"/>
      <c r="E76" s="23"/>
      <c r="F76" s="23"/>
      <c r="G76" s="23"/>
      <c r="H76" s="23"/>
      <c r="I76" s="23"/>
      <c r="J76" s="23"/>
      <c r="K76" s="23"/>
      <c r="L76" s="23"/>
      <c r="M76" s="23"/>
      <c r="N76" s="23"/>
      <c r="O76" s="23"/>
      <c r="P76" s="23"/>
    </row>
    <row r="77" spans="1:16" s="22" customFormat="1" ht="15" x14ac:dyDescent="0.2">
      <c r="A77" s="20"/>
      <c r="C77" s="23"/>
      <c r="D77" s="23"/>
      <c r="E77" s="23"/>
      <c r="F77" s="23"/>
      <c r="G77" s="23"/>
      <c r="H77" s="23"/>
      <c r="I77" s="23"/>
      <c r="J77" s="23"/>
      <c r="K77" s="23"/>
      <c r="L77" s="23"/>
      <c r="M77" s="23"/>
      <c r="N77" s="23"/>
      <c r="O77" s="23"/>
      <c r="P77" s="23"/>
    </row>
    <row r="78" spans="1:16" s="22" customFormat="1" x14ac:dyDescent="0.2">
      <c r="A78" s="19"/>
      <c r="C78" s="23"/>
      <c r="D78" s="23"/>
      <c r="E78" s="23"/>
      <c r="F78" s="23"/>
      <c r="G78" s="23"/>
      <c r="H78" s="23"/>
      <c r="I78" s="23"/>
      <c r="J78" s="23"/>
      <c r="K78" s="23"/>
      <c r="L78" s="23"/>
      <c r="M78" s="23"/>
      <c r="N78" s="23"/>
      <c r="O78" s="23"/>
      <c r="P78" s="23"/>
    </row>
    <row r="79" spans="1:16" s="22" customFormat="1" ht="15" x14ac:dyDescent="0.2">
      <c r="A79" s="20"/>
      <c r="C79" s="23"/>
      <c r="D79" s="23"/>
      <c r="E79" s="23"/>
      <c r="F79" s="23"/>
      <c r="G79" s="23"/>
      <c r="H79" s="23"/>
      <c r="I79" s="23"/>
      <c r="J79" s="23"/>
      <c r="K79" s="23"/>
      <c r="L79" s="23"/>
      <c r="M79" s="23"/>
      <c r="N79" s="23"/>
      <c r="O79" s="23"/>
      <c r="P79" s="23"/>
    </row>
    <row r="80" spans="1:16" s="22" customFormat="1" ht="15" x14ac:dyDescent="0.2">
      <c r="A80" s="20"/>
      <c r="C80" s="23"/>
      <c r="D80" s="23"/>
      <c r="E80" s="23"/>
      <c r="F80" s="23"/>
      <c r="G80" s="23"/>
      <c r="H80" s="23"/>
      <c r="I80" s="23"/>
      <c r="J80" s="23"/>
      <c r="K80" s="23"/>
      <c r="L80" s="23"/>
      <c r="M80" s="23"/>
      <c r="N80" s="23"/>
      <c r="O80" s="23"/>
      <c r="P80" s="23"/>
    </row>
    <row r="81" spans="1:16" s="22" customFormat="1" x14ac:dyDescent="0.2">
      <c r="A81" s="19"/>
      <c r="C81" s="23"/>
      <c r="D81" s="23"/>
      <c r="E81" s="23"/>
      <c r="F81" s="23"/>
      <c r="G81" s="23"/>
      <c r="H81" s="23"/>
      <c r="I81" s="23"/>
      <c r="J81" s="23"/>
      <c r="K81" s="23"/>
      <c r="L81" s="23"/>
      <c r="M81" s="23"/>
      <c r="N81" s="23"/>
      <c r="O81" s="23"/>
      <c r="P81" s="23"/>
    </row>
    <row r="82" spans="1:16" s="22" customFormat="1" ht="15" x14ac:dyDescent="0.2">
      <c r="A82" s="20"/>
      <c r="C82" s="23"/>
      <c r="D82" s="23"/>
      <c r="E82" s="23"/>
      <c r="F82" s="23"/>
      <c r="G82" s="23"/>
      <c r="H82" s="23"/>
      <c r="I82" s="23"/>
      <c r="J82" s="23"/>
      <c r="K82" s="23"/>
      <c r="L82" s="23"/>
      <c r="M82" s="23"/>
      <c r="N82" s="23"/>
      <c r="O82" s="23"/>
      <c r="P82" s="23"/>
    </row>
    <row r="83" spans="1:16" s="22" customFormat="1" ht="15" x14ac:dyDescent="0.2">
      <c r="A83" s="20"/>
      <c r="C83" s="23"/>
      <c r="D83" s="23"/>
      <c r="E83" s="23"/>
      <c r="F83" s="23"/>
      <c r="G83" s="23"/>
      <c r="H83" s="23"/>
      <c r="I83" s="23"/>
      <c r="J83" s="23"/>
      <c r="K83" s="23"/>
      <c r="L83" s="23"/>
      <c r="M83" s="23"/>
      <c r="N83" s="23"/>
      <c r="O83" s="23"/>
      <c r="P83" s="23"/>
    </row>
    <row r="84" spans="1:16" s="22" customFormat="1" x14ac:dyDescent="0.2">
      <c r="A84" s="19"/>
      <c r="C84" s="23"/>
      <c r="D84" s="23"/>
      <c r="E84" s="23"/>
      <c r="F84" s="23"/>
      <c r="G84" s="23"/>
      <c r="H84" s="23"/>
      <c r="I84" s="23"/>
      <c r="J84" s="23"/>
      <c r="K84" s="23"/>
      <c r="L84" s="23"/>
      <c r="M84" s="23"/>
      <c r="N84" s="23"/>
      <c r="O84" s="23"/>
      <c r="P84" s="23"/>
    </row>
    <row r="85" spans="1:16" s="22" customFormat="1" ht="15" x14ac:dyDescent="0.2">
      <c r="A85" s="20"/>
      <c r="C85" s="23"/>
      <c r="D85" s="23"/>
      <c r="E85" s="23"/>
      <c r="F85" s="23"/>
      <c r="G85" s="23"/>
      <c r="H85" s="23"/>
      <c r="I85" s="23"/>
      <c r="J85" s="23"/>
      <c r="K85" s="23"/>
      <c r="L85" s="23"/>
      <c r="M85" s="23"/>
      <c r="N85" s="23"/>
      <c r="O85" s="23"/>
      <c r="P85" s="23"/>
    </row>
    <row r="86" spans="1:16" s="22" customFormat="1" ht="15" x14ac:dyDescent="0.2">
      <c r="A86" s="20"/>
      <c r="C86" s="23"/>
      <c r="D86" s="23"/>
      <c r="E86" s="23"/>
      <c r="F86" s="23"/>
      <c r="G86" s="23"/>
      <c r="H86" s="23"/>
      <c r="I86" s="23"/>
      <c r="J86" s="23"/>
      <c r="K86" s="23"/>
      <c r="L86" s="23"/>
      <c r="M86" s="23"/>
      <c r="N86" s="23"/>
      <c r="O86" s="23"/>
      <c r="P86" s="23"/>
    </row>
    <row r="87" spans="1:16" s="22" customFormat="1" x14ac:dyDescent="0.2">
      <c r="A87" s="19"/>
      <c r="C87" s="23"/>
      <c r="D87" s="23"/>
      <c r="E87" s="23"/>
      <c r="F87" s="23"/>
      <c r="G87" s="23"/>
      <c r="H87" s="23"/>
      <c r="I87" s="23"/>
      <c r="J87" s="23"/>
      <c r="K87" s="23"/>
      <c r="L87" s="23"/>
      <c r="M87" s="23"/>
      <c r="N87" s="23"/>
      <c r="O87" s="23"/>
      <c r="P87" s="23"/>
    </row>
    <row r="88" spans="1:16" s="22" customFormat="1" ht="15" x14ac:dyDescent="0.2">
      <c r="A88" s="20"/>
      <c r="C88" s="23"/>
      <c r="D88" s="23"/>
      <c r="E88" s="23"/>
      <c r="F88" s="23"/>
      <c r="G88" s="23"/>
      <c r="H88" s="23"/>
      <c r="I88" s="23"/>
      <c r="J88" s="23"/>
      <c r="K88" s="23"/>
      <c r="L88" s="23"/>
      <c r="M88" s="23"/>
      <c r="N88" s="23"/>
      <c r="O88" s="23"/>
      <c r="P88" s="23"/>
    </row>
    <row r="89" spans="1:16" s="22" customFormat="1" ht="15" x14ac:dyDescent="0.2">
      <c r="A89" s="20"/>
      <c r="C89" s="23"/>
      <c r="D89" s="23"/>
      <c r="E89" s="23"/>
      <c r="F89" s="23"/>
      <c r="G89" s="23"/>
      <c r="H89" s="23"/>
      <c r="I89" s="23"/>
      <c r="J89" s="23"/>
      <c r="K89" s="23"/>
      <c r="L89" s="23"/>
      <c r="M89" s="23"/>
      <c r="N89" s="23"/>
      <c r="O89" s="23"/>
      <c r="P89" s="23"/>
    </row>
    <row r="90" spans="1:16" s="22" customFormat="1" x14ac:dyDescent="0.2">
      <c r="A90" s="19"/>
      <c r="C90" s="23"/>
      <c r="D90" s="23"/>
      <c r="E90" s="23"/>
      <c r="F90" s="23"/>
      <c r="G90" s="23"/>
      <c r="H90" s="23"/>
      <c r="I90" s="23"/>
      <c r="J90" s="23"/>
      <c r="K90" s="23"/>
      <c r="L90" s="23"/>
      <c r="M90" s="23"/>
      <c r="N90" s="23"/>
      <c r="O90" s="23"/>
      <c r="P90" s="23"/>
    </row>
    <row r="91" spans="1:16" s="22" customFormat="1" ht="15" x14ac:dyDescent="0.2">
      <c r="A91" s="20"/>
      <c r="C91" s="23"/>
      <c r="D91" s="23"/>
      <c r="E91" s="23"/>
      <c r="F91" s="23"/>
      <c r="G91" s="23"/>
      <c r="H91" s="23"/>
      <c r="I91" s="23"/>
      <c r="J91" s="23"/>
      <c r="K91" s="23"/>
      <c r="L91" s="23"/>
      <c r="M91" s="23"/>
      <c r="N91" s="23"/>
      <c r="O91" s="23"/>
      <c r="P91" s="23"/>
    </row>
    <row r="92" spans="1:16" s="22" customFormat="1" ht="15" x14ac:dyDescent="0.2">
      <c r="A92" s="20"/>
      <c r="C92" s="23"/>
      <c r="D92" s="23"/>
      <c r="E92" s="23"/>
      <c r="F92" s="23"/>
      <c r="G92" s="23"/>
      <c r="H92" s="23"/>
      <c r="I92" s="23"/>
      <c r="J92" s="23"/>
      <c r="K92" s="23"/>
      <c r="L92" s="23"/>
      <c r="M92" s="23"/>
      <c r="N92" s="23"/>
      <c r="O92" s="23"/>
      <c r="P92" s="23"/>
    </row>
    <row r="93" spans="1:16" s="17" customFormat="1" x14ac:dyDescent="0.2">
      <c r="A93" s="63"/>
      <c r="C93" s="18"/>
      <c r="D93" s="18"/>
      <c r="E93" s="18"/>
      <c r="F93" s="18"/>
      <c r="G93" s="18"/>
      <c r="H93" s="18"/>
      <c r="I93" s="18"/>
      <c r="J93" s="18"/>
      <c r="K93" s="18"/>
      <c r="L93" s="18"/>
      <c r="M93" s="18"/>
      <c r="N93" s="18"/>
      <c r="O93" s="18"/>
      <c r="P93" s="18"/>
    </row>
    <row r="94" spans="1:16" s="17" customFormat="1" x14ac:dyDescent="0.2">
      <c r="A94" s="64"/>
      <c r="C94" s="18"/>
      <c r="D94" s="18"/>
      <c r="E94" s="18"/>
      <c r="F94" s="18"/>
      <c r="G94" s="18"/>
      <c r="H94" s="18"/>
      <c r="I94" s="18"/>
      <c r="J94" s="18"/>
      <c r="K94" s="18"/>
      <c r="L94" s="18"/>
      <c r="M94" s="18"/>
      <c r="N94" s="18"/>
      <c r="O94" s="18"/>
      <c r="P94" s="18"/>
    </row>
    <row r="95" spans="1:16" s="17" customFormat="1" x14ac:dyDescent="0.2">
      <c r="A95" s="64"/>
      <c r="C95" s="18"/>
      <c r="D95" s="18"/>
      <c r="E95" s="18"/>
      <c r="F95" s="18"/>
      <c r="G95" s="18"/>
      <c r="H95" s="18"/>
      <c r="I95" s="18"/>
      <c r="J95" s="18"/>
      <c r="K95" s="18"/>
      <c r="L95" s="18"/>
      <c r="M95" s="18"/>
      <c r="N95" s="18"/>
      <c r="O95" s="18"/>
      <c r="P95" s="18"/>
    </row>
    <row r="96" spans="1:16" s="17" customFormat="1" x14ac:dyDescent="0.2"/>
    <row r="97" s="17" customFormat="1" x14ac:dyDescent="0.2"/>
    <row r="98" s="17" customFormat="1" x14ac:dyDescent="0.2"/>
  </sheetData>
  <sheetProtection sheet="1" objects="1" scenarios="1"/>
  <mergeCells count="9">
    <mergeCell ref="A93:A95"/>
    <mergeCell ref="A29:H29"/>
    <mergeCell ref="A32:H32"/>
    <mergeCell ref="A7:B7"/>
    <mergeCell ref="A14:H14"/>
    <mergeCell ref="A17:H17"/>
    <mergeCell ref="A20:H20"/>
    <mergeCell ref="A23:H23"/>
    <mergeCell ref="A26:H26"/>
  </mergeCells>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6</xdr:col>
                    <xdr:colOff>581025</xdr:colOff>
                    <xdr:row>1</xdr:row>
                    <xdr:rowOff>123825</xdr:rowOff>
                  </from>
                  <to>
                    <xdr:col>8</xdr:col>
                    <xdr:colOff>400050</xdr:colOff>
                    <xdr:row>2</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6</xdr:col>
                    <xdr:colOff>581025</xdr:colOff>
                    <xdr:row>2</xdr:row>
                    <xdr:rowOff>114300</xdr:rowOff>
                  </from>
                  <to>
                    <xdr:col>9</xdr:col>
                    <xdr:colOff>142875</xdr:colOff>
                    <xdr:row>3</xdr:row>
                    <xdr:rowOff>123825</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6</xdr:col>
                    <xdr:colOff>581025</xdr:colOff>
                    <xdr:row>3</xdr:row>
                    <xdr:rowOff>76200</xdr:rowOff>
                  </from>
                  <to>
                    <xdr:col>8</xdr:col>
                    <xdr:colOff>400050</xdr:colOff>
                    <xdr:row>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selection activeCell="C91" sqref="C91"/>
    </sheetView>
  </sheetViews>
  <sheetFormatPr baseColWidth="10" defaultColWidth="12.5703125" defaultRowHeight="12.75" x14ac:dyDescent="0.25"/>
  <cols>
    <col min="1" max="1" width="8.5703125" style="28" bestFit="1" customWidth="1"/>
    <col min="2" max="2" width="20.42578125" style="28" customWidth="1"/>
    <col min="3" max="5" width="62.7109375" style="28" customWidth="1"/>
    <col min="6" max="16384" width="12.5703125" style="28"/>
  </cols>
  <sheetData>
    <row r="1" spans="1:6" x14ac:dyDescent="0.25">
      <c r="A1" s="32" t="s">
        <v>70</v>
      </c>
      <c r="B1" s="32" t="s">
        <v>71</v>
      </c>
      <c r="C1" s="32" t="s">
        <v>72</v>
      </c>
      <c r="D1" s="32" t="s">
        <v>73</v>
      </c>
      <c r="E1" s="32" t="s">
        <v>74</v>
      </c>
      <c r="F1" s="33"/>
    </row>
    <row r="2" spans="1:6" x14ac:dyDescent="0.25">
      <c r="A2" s="34" t="s">
        <v>75</v>
      </c>
      <c r="B2" s="35">
        <v>1</v>
      </c>
      <c r="C2" s="33"/>
      <c r="D2" s="33"/>
      <c r="E2" s="33"/>
      <c r="F2" s="33"/>
    </row>
    <row r="3" spans="1:6" x14ac:dyDescent="0.25">
      <c r="A3" s="34"/>
      <c r="B3" s="28" t="s">
        <v>76</v>
      </c>
      <c r="C3" s="36" t="s">
        <v>77</v>
      </c>
      <c r="D3" s="36" t="s">
        <v>78</v>
      </c>
      <c r="E3" s="36" t="s">
        <v>79</v>
      </c>
      <c r="F3" s="33"/>
    </row>
    <row r="4" spans="1:6" ht="25.5" x14ac:dyDescent="0.25">
      <c r="A4" s="34" t="s">
        <v>80</v>
      </c>
      <c r="B4" s="37" t="s">
        <v>81</v>
      </c>
      <c r="C4" s="47" t="s">
        <v>248</v>
      </c>
      <c r="D4" s="47" t="s">
        <v>249</v>
      </c>
      <c r="E4" s="47" t="s">
        <v>250</v>
      </c>
      <c r="F4" s="33"/>
    </row>
    <row r="5" spans="1:6" x14ac:dyDescent="0.25">
      <c r="A5" s="34"/>
      <c r="B5" s="28" t="s">
        <v>126</v>
      </c>
      <c r="C5" s="38" t="s">
        <v>0</v>
      </c>
      <c r="D5" s="38" t="s">
        <v>158</v>
      </c>
      <c r="E5" s="38" t="s">
        <v>245</v>
      </c>
      <c r="F5" s="33"/>
    </row>
    <row r="6" spans="1:6" x14ac:dyDescent="0.25">
      <c r="A6" s="34"/>
      <c r="B6" s="28" t="s">
        <v>127</v>
      </c>
      <c r="C6" s="38" t="s">
        <v>14</v>
      </c>
      <c r="D6" s="38" t="s">
        <v>159</v>
      </c>
      <c r="E6" s="38" t="s">
        <v>232</v>
      </c>
      <c r="F6" s="33"/>
    </row>
    <row r="7" spans="1:6" x14ac:dyDescent="0.25">
      <c r="A7" s="34"/>
      <c r="B7" s="28" t="s">
        <v>128</v>
      </c>
      <c r="C7" s="47" t="s">
        <v>251</v>
      </c>
      <c r="D7" s="47" t="s">
        <v>252</v>
      </c>
      <c r="E7" s="47" t="s">
        <v>251</v>
      </c>
      <c r="F7" s="33"/>
    </row>
    <row r="8" spans="1:6" x14ac:dyDescent="0.25">
      <c r="A8" s="34"/>
      <c r="B8" s="28" t="s">
        <v>129</v>
      </c>
      <c r="C8" s="39" t="s">
        <v>17</v>
      </c>
      <c r="D8" s="39" t="s">
        <v>160</v>
      </c>
      <c r="E8" s="39" t="s">
        <v>246</v>
      </c>
      <c r="F8" s="33"/>
    </row>
    <row r="9" spans="1:6" x14ac:dyDescent="0.25">
      <c r="A9" s="34"/>
      <c r="B9" s="34"/>
      <c r="C9" s="40"/>
      <c r="D9" s="40"/>
      <c r="E9" s="40"/>
      <c r="F9" s="33"/>
    </row>
    <row r="10" spans="1:6" x14ac:dyDescent="0.25">
      <c r="A10" s="34" t="s">
        <v>113</v>
      </c>
      <c r="B10" s="28" t="s">
        <v>135</v>
      </c>
      <c r="C10" s="47" t="s">
        <v>256</v>
      </c>
      <c r="D10" s="47" t="s">
        <v>252</v>
      </c>
      <c r="E10" s="47" t="s">
        <v>253</v>
      </c>
      <c r="F10" s="33"/>
    </row>
    <row r="11" spans="1:6" x14ac:dyDescent="0.25">
      <c r="A11" s="34"/>
      <c r="B11" s="28" t="s">
        <v>136</v>
      </c>
      <c r="C11" s="47" t="s">
        <v>257</v>
      </c>
      <c r="D11" s="47" t="s">
        <v>255</v>
      </c>
      <c r="E11" s="47" t="s">
        <v>254</v>
      </c>
      <c r="F11" s="33"/>
    </row>
    <row r="12" spans="1:6" x14ac:dyDescent="0.25">
      <c r="A12" s="34"/>
      <c r="B12" s="28" t="s">
        <v>137</v>
      </c>
      <c r="C12" s="47" t="s">
        <v>258</v>
      </c>
      <c r="D12" s="47" t="s">
        <v>259</v>
      </c>
      <c r="E12" s="47" t="s">
        <v>260</v>
      </c>
      <c r="F12" s="33"/>
    </row>
    <row r="13" spans="1:6" x14ac:dyDescent="0.25">
      <c r="A13" s="34"/>
      <c r="B13" s="34"/>
      <c r="C13" s="40"/>
      <c r="D13" s="40"/>
      <c r="E13" s="40"/>
      <c r="F13" s="33"/>
    </row>
    <row r="14" spans="1:6" x14ac:dyDescent="0.25">
      <c r="A14" s="34" t="s">
        <v>82</v>
      </c>
      <c r="B14" s="28" t="s">
        <v>83</v>
      </c>
      <c r="C14" s="39" t="s">
        <v>16</v>
      </c>
      <c r="D14" s="39" t="s">
        <v>16</v>
      </c>
      <c r="E14" s="39" t="s">
        <v>84</v>
      </c>
      <c r="F14" s="33"/>
    </row>
    <row r="15" spans="1:6" x14ac:dyDescent="0.25">
      <c r="A15" s="34"/>
      <c r="B15" s="28" t="s">
        <v>85</v>
      </c>
      <c r="C15" s="39" t="s">
        <v>11</v>
      </c>
      <c r="D15" s="39" t="s">
        <v>122</v>
      </c>
      <c r="E15" s="39" t="s">
        <v>123</v>
      </c>
      <c r="F15" s="33"/>
    </row>
    <row r="16" spans="1:6" x14ac:dyDescent="0.25">
      <c r="A16" s="34"/>
      <c r="B16" s="28" t="s">
        <v>86</v>
      </c>
      <c r="C16" s="39" t="s">
        <v>12</v>
      </c>
      <c r="D16" s="39" t="s">
        <v>124</v>
      </c>
      <c r="E16" s="39" t="s">
        <v>125</v>
      </c>
      <c r="F16" s="33"/>
    </row>
    <row r="17" spans="1:6" x14ac:dyDescent="0.25">
      <c r="A17" s="34"/>
      <c r="B17" s="34"/>
      <c r="C17" s="40"/>
      <c r="D17" s="40"/>
      <c r="E17" s="40"/>
      <c r="F17" s="34"/>
    </row>
    <row r="18" spans="1:6" x14ac:dyDescent="0.25">
      <c r="A18" s="34"/>
      <c r="B18" s="28" t="s">
        <v>87</v>
      </c>
      <c r="C18" s="39" t="s">
        <v>53</v>
      </c>
      <c r="D18" s="39" t="s">
        <v>162</v>
      </c>
      <c r="E18" s="39" t="s">
        <v>227</v>
      </c>
      <c r="F18" s="33"/>
    </row>
    <row r="19" spans="1:6" x14ac:dyDescent="0.25">
      <c r="A19" s="34"/>
      <c r="B19" s="28" t="s">
        <v>88</v>
      </c>
      <c r="C19" s="39" t="s">
        <v>54</v>
      </c>
      <c r="D19" s="39" t="s">
        <v>163</v>
      </c>
      <c r="E19" s="39" t="s">
        <v>228</v>
      </c>
      <c r="F19" s="33"/>
    </row>
    <row r="20" spans="1:6" x14ac:dyDescent="0.25">
      <c r="A20" s="34"/>
      <c r="B20" s="28" t="s">
        <v>130</v>
      </c>
      <c r="C20" s="39" t="s">
        <v>52</v>
      </c>
      <c r="D20" s="39" t="s">
        <v>161</v>
      </c>
      <c r="E20" s="39" t="s">
        <v>229</v>
      </c>
      <c r="F20" s="33"/>
    </row>
    <row r="21" spans="1:6" x14ac:dyDescent="0.25">
      <c r="A21" s="34"/>
      <c r="B21" s="28" t="s">
        <v>89</v>
      </c>
      <c r="C21" s="39" t="s">
        <v>53</v>
      </c>
      <c r="D21" s="39" t="s">
        <v>162</v>
      </c>
      <c r="E21" s="39" t="s">
        <v>227</v>
      </c>
      <c r="F21" s="33"/>
    </row>
    <row r="22" spans="1:6" x14ac:dyDescent="0.25">
      <c r="A22" s="34"/>
      <c r="B22" s="28" t="s">
        <v>90</v>
      </c>
      <c r="C22" s="39" t="s">
        <v>54</v>
      </c>
      <c r="D22" s="39" t="s">
        <v>163</v>
      </c>
      <c r="E22" s="39" t="s">
        <v>228</v>
      </c>
      <c r="F22" s="33"/>
    </row>
    <row r="23" spans="1:6" x14ac:dyDescent="0.25">
      <c r="A23" s="34"/>
      <c r="B23" s="28" t="s">
        <v>131</v>
      </c>
      <c r="C23" s="39" t="s">
        <v>52</v>
      </c>
      <c r="D23" s="39" t="s">
        <v>161</v>
      </c>
      <c r="E23" s="39" t="s">
        <v>229</v>
      </c>
      <c r="F23" s="33"/>
    </row>
    <row r="24" spans="1:6" x14ac:dyDescent="0.25">
      <c r="A24" s="34"/>
      <c r="B24" s="28" t="s">
        <v>132</v>
      </c>
      <c r="C24" s="39" t="s">
        <v>55</v>
      </c>
      <c r="D24" s="39" t="s">
        <v>164</v>
      </c>
      <c r="E24" s="39" t="s">
        <v>230</v>
      </c>
      <c r="F24" s="33"/>
    </row>
    <row r="25" spans="1:6" x14ac:dyDescent="0.25">
      <c r="A25" s="34"/>
      <c r="B25" s="28" t="s">
        <v>91</v>
      </c>
      <c r="C25" s="39" t="s">
        <v>53</v>
      </c>
      <c r="D25" s="39" t="s">
        <v>162</v>
      </c>
      <c r="E25" s="39" t="s">
        <v>227</v>
      </c>
      <c r="F25" s="33"/>
    </row>
    <row r="26" spans="1:6" x14ac:dyDescent="0.25">
      <c r="A26" s="34"/>
      <c r="B26" s="28" t="s">
        <v>92</v>
      </c>
      <c r="C26" s="39" t="s">
        <v>54</v>
      </c>
      <c r="D26" s="39" t="s">
        <v>163</v>
      </c>
      <c r="E26" s="39" t="s">
        <v>228</v>
      </c>
      <c r="F26" s="33"/>
    </row>
    <row r="27" spans="1:6" x14ac:dyDescent="0.25">
      <c r="A27" s="34"/>
      <c r="B27" s="28" t="s">
        <v>133</v>
      </c>
      <c r="C27" s="39" t="s">
        <v>52</v>
      </c>
      <c r="D27" s="39" t="s">
        <v>161</v>
      </c>
      <c r="E27" s="39" t="s">
        <v>229</v>
      </c>
      <c r="F27" s="33"/>
    </row>
    <row r="28" spans="1:6" x14ac:dyDescent="0.25">
      <c r="A28" s="34"/>
      <c r="B28" s="28" t="s">
        <v>134</v>
      </c>
      <c r="C28" s="39" t="s">
        <v>56</v>
      </c>
      <c r="D28" s="39" t="s">
        <v>165</v>
      </c>
      <c r="E28" s="39" t="s">
        <v>230</v>
      </c>
      <c r="F28" s="33"/>
    </row>
    <row r="29" spans="1:6" x14ac:dyDescent="0.25">
      <c r="A29" s="34"/>
      <c r="B29" s="33"/>
      <c r="C29" s="41"/>
      <c r="D29" s="41"/>
      <c r="E29" s="41"/>
      <c r="F29" s="33"/>
    </row>
    <row r="30" spans="1:6" x14ac:dyDescent="0.25">
      <c r="A30" s="34" t="s">
        <v>80</v>
      </c>
      <c r="B30" s="28" t="s">
        <v>93</v>
      </c>
      <c r="C30" s="39" t="s">
        <v>1</v>
      </c>
      <c r="D30" s="39" t="s">
        <v>166</v>
      </c>
      <c r="E30" s="39" t="s">
        <v>166</v>
      </c>
      <c r="F30" s="33"/>
    </row>
    <row r="31" spans="1:6" x14ac:dyDescent="0.25">
      <c r="A31" s="33"/>
      <c r="B31" s="28" t="s">
        <v>94</v>
      </c>
      <c r="C31" s="39" t="s">
        <v>11</v>
      </c>
      <c r="D31" s="39" t="s">
        <v>122</v>
      </c>
      <c r="E31" s="39" t="s">
        <v>123</v>
      </c>
      <c r="F31" s="33"/>
    </row>
    <row r="32" spans="1:6" x14ac:dyDescent="0.25">
      <c r="A32" s="33"/>
      <c r="B32" s="28" t="s">
        <v>95</v>
      </c>
      <c r="C32" s="39" t="s">
        <v>12</v>
      </c>
      <c r="D32" s="39" t="s">
        <v>124</v>
      </c>
      <c r="E32" s="39" t="s">
        <v>125</v>
      </c>
      <c r="F32" s="33"/>
    </row>
    <row r="33" spans="1:6" x14ac:dyDescent="0.25">
      <c r="A33" s="33"/>
      <c r="B33" s="28" t="s">
        <v>96</v>
      </c>
      <c r="C33" s="39" t="s">
        <v>13</v>
      </c>
      <c r="D33" s="39" t="s">
        <v>16</v>
      </c>
      <c r="E33" s="39" t="s">
        <v>84</v>
      </c>
      <c r="F33" s="33"/>
    </row>
    <row r="34" spans="1:6" x14ac:dyDescent="0.25">
      <c r="A34" s="33"/>
      <c r="B34" s="28" t="s">
        <v>97</v>
      </c>
      <c r="C34" s="39" t="s">
        <v>167</v>
      </c>
      <c r="D34" s="39" t="s">
        <v>168</v>
      </c>
      <c r="E34" s="39" t="s">
        <v>226</v>
      </c>
      <c r="F34" s="33"/>
    </row>
    <row r="35" spans="1:6" x14ac:dyDescent="0.25">
      <c r="A35" s="33"/>
      <c r="B35" s="28" t="s">
        <v>98</v>
      </c>
      <c r="C35" s="39" t="s">
        <v>18</v>
      </c>
      <c r="D35" s="39" t="s">
        <v>193</v>
      </c>
      <c r="E35" s="39" t="s">
        <v>194</v>
      </c>
      <c r="F35" s="33"/>
    </row>
    <row r="36" spans="1:6" x14ac:dyDescent="0.25">
      <c r="A36" s="33"/>
      <c r="B36" s="28" t="s">
        <v>99</v>
      </c>
      <c r="C36" s="39" t="s">
        <v>19</v>
      </c>
      <c r="D36" s="39" t="s">
        <v>195</v>
      </c>
      <c r="E36" s="39" t="s">
        <v>196</v>
      </c>
      <c r="F36" s="33"/>
    </row>
    <row r="37" spans="1:6" x14ac:dyDescent="0.25">
      <c r="A37" s="33"/>
      <c r="B37" s="28" t="s">
        <v>100</v>
      </c>
      <c r="C37" s="39" t="s">
        <v>20</v>
      </c>
      <c r="D37" s="39" t="s">
        <v>197</v>
      </c>
      <c r="E37" s="39" t="s">
        <v>198</v>
      </c>
      <c r="F37" s="33"/>
    </row>
    <row r="38" spans="1:6" x14ac:dyDescent="0.25">
      <c r="A38" s="33"/>
      <c r="B38" s="28" t="s">
        <v>101</v>
      </c>
      <c r="C38" s="39" t="s">
        <v>21</v>
      </c>
      <c r="D38" s="39" t="s">
        <v>199</v>
      </c>
      <c r="E38" s="39" t="s">
        <v>200</v>
      </c>
      <c r="F38" s="33"/>
    </row>
    <row r="39" spans="1:6" x14ac:dyDescent="0.25">
      <c r="A39" s="33"/>
      <c r="B39" s="28" t="s">
        <v>102</v>
      </c>
      <c r="C39" s="39" t="s">
        <v>22</v>
      </c>
      <c r="D39" s="39" t="s">
        <v>201</v>
      </c>
      <c r="E39" s="39" t="s">
        <v>202</v>
      </c>
      <c r="F39" s="33"/>
    </row>
    <row r="40" spans="1:6" x14ac:dyDescent="0.25">
      <c r="A40" s="33"/>
      <c r="B40" s="28" t="s">
        <v>103</v>
      </c>
      <c r="C40" s="39" t="s">
        <v>23</v>
      </c>
      <c r="D40" s="39" t="s">
        <v>203</v>
      </c>
      <c r="E40" s="39" t="s">
        <v>204</v>
      </c>
      <c r="F40" s="33"/>
    </row>
    <row r="41" spans="1:6" x14ac:dyDescent="0.25">
      <c r="A41" s="33"/>
      <c r="B41" s="28" t="s">
        <v>104</v>
      </c>
      <c r="C41" s="39" t="s">
        <v>24</v>
      </c>
      <c r="D41" s="39" t="s">
        <v>205</v>
      </c>
      <c r="E41" s="39" t="s">
        <v>206</v>
      </c>
      <c r="F41" s="33"/>
    </row>
    <row r="42" spans="1:6" x14ac:dyDescent="0.25">
      <c r="A42" s="33"/>
      <c r="B42" s="28" t="s">
        <v>105</v>
      </c>
      <c r="C42" s="39" t="s">
        <v>25</v>
      </c>
      <c r="D42" s="39" t="s">
        <v>207</v>
      </c>
      <c r="E42" s="39" t="s">
        <v>208</v>
      </c>
      <c r="F42" s="33"/>
    </row>
    <row r="43" spans="1:6" x14ac:dyDescent="0.25">
      <c r="A43" s="33"/>
      <c r="B43" s="28" t="s">
        <v>106</v>
      </c>
      <c r="C43" s="39" t="s">
        <v>26</v>
      </c>
      <c r="D43" s="39" t="s">
        <v>209</v>
      </c>
      <c r="E43" s="39" t="s">
        <v>210</v>
      </c>
      <c r="F43" s="33"/>
    </row>
    <row r="44" spans="1:6" x14ac:dyDescent="0.25">
      <c r="A44" s="33"/>
      <c r="B44" s="28" t="s">
        <v>107</v>
      </c>
      <c r="C44" s="39" t="s">
        <v>27</v>
      </c>
      <c r="D44" s="39" t="s">
        <v>211</v>
      </c>
      <c r="E44" s="39" t="s">
        <v>212</v>
      </c>
      <c r="F44" s="33"/>
    </row>
    <row r="45" spans="1:6" x14ac:dyDescent="0.25">
      <c r="A45" s="33"/>
      <c r="B45" s="28" t="s">
        <v>108</v>
      </c>
      <c r="C45" s="39" t="s">
        <v>28</v>
      </c>
      <c r="D45" s="39" t="s">
        <v>213</v>
      </c>
      <c r="E45" s="39" t="s">
        <v>214</v>
      </c>
      <c r="F45" s="33"/>
    </row>
    <row r="46" spans="1:6" x14ac:dyDescent="0.25">
      <c r="A46" s="33"/>
      <c r="B46" s="28" t="s">
        <v>109</v>
      </c>
      <c r="C46" s="39" t="s">
        <v>49</v>
      </c>
      <c r="D46" s="39" t="s">
        <v>169</v>
      </c>
      <c r="E46" s="39" t="s">
        <v>224</v>
      </c>
      <c r="F46" s="33"/>
    </row>
    <row r="47" spans="1:6" x14ac:dyDescent="0.25">
      <c r="A47" s="33"/>
      <c r="B47" s="28" t="s">
        <v>110</v>
      </c>
      <c r="C47" s="39" t="s">
        <v>50</v>
      </c>
      <c r="D47" s="39" t="s">
        <v>170</v>
      </c>
      <c r="E47" s="39" t="s">
        <v>225</v>
      </c>
      <c r="F47" s="33"/>
    </row>
    <row r="48" spans="1:6" x14ac:dyDescent="0.25">
      <c r="A48" s="33"/>
      <c r="B48" s="33"/>
      <c r="C48" s="41"/>
      <c r="D48" s="41"/>
      <c r="E48" s="41"/>
      <c r="F48" s="33"/>
    </row>
    <row r="49" spans="1:6" x14ac:dyDescent="0.25">
      <c r="A49" s="33" t="s">
        <v>113</v>
      </c>
      <c r="B49" s="28" t="s">
        <v>114</v>
      </c>
      <c r="C49" s="39" t="s">
        <v>42</v>
      </c>
      <c r="D49" s="39" t="s">
        <v>171</v>
      </c>
      <c r="E49" s="39" t="s">
        <v>216</v>
      </c>
      <c r="F49" s="33"/>
    </row>
    <row r="50" spans="1:6" x14ac:dyDescent="0.25">
      <c r="A50" s="33"/>
      <c r="B50" s="28" t="s">
        <v>115</v>
      </c>
      <c r="C50" s="39" t="s">
        <v>43</v>
      </c>
      <c r="D50" s="39" t="s">
        <v>172</v>
      </c>
      <c r="E50" s="39" t="s">
        <v>217</v>
      </c>
      <c r="F50" s="33"/>
    </row>
    <row r="51" spans="1:6" x14ac:dyDescent="0.25">
      <c r="A51" s="33"/>
      <c r="B51" s="28" t="s">
        <v>116</v>
      </c>
      <c r="C51" s="39" t="s">
        <v>44</v>
      </c>
      <c r="D51" s="39" t="s">
        <v>173</v>
      </c>
      <c r="E51" s="39" t="s">
        <v>218</v>
      </c>
      <c r="F51" s="33"/>
    </row>
    <row r="52" spans="1:6" x14ac:dyDescent="0.25">
      <c r="A52" s="33"/>
      <c r="B52" s="28" t="s">
        <v>117</v>
      </c>
      <c r="C52" s="39" t="s">
        <v>45</v>
      </c>
      <c r="D52" s="39" t="s">
        <v>174</v>
      </c>
      <c r="E52" s="39" t="s">
        <v>219</v>
      </c>
      <c r="F52" s="33"/>
    </row>
    <row r="53" spans="1:6" x14ac:dyDescent="0.25">
      <c r="A53" s="33"/>
      <c r="B53" s="28" t="s">
        <v>118</v>
      </c>
      <c r="C53" s="39" t="s">
        <v>46</v>
      </c>
      <c r="D53" s="39" t="s">
        <v>175</v>
      </c>
      <c r="E53" s="39" t="s">
        <v>220</v>
      </c>
      <c r="F53" s="33"/>
    </row>
    <row r="54" spans="1:6" x14ac:dyDescent="0.25">
      <c r="A54" s="33"/>
      <c r="B54" s="28" t="s">
        <v>119</v>
      </c>
      <c r="C54" s="39" t="s">
        <v>47</v>
      </c>
      <c r="D54" s="39" t="s">
        <v>176</v>
      </c>
      <c r="E54" s="39" t="s">
        <v>221</v>
      </c>
      <c r="F54" s="33"/>
    </row>
    <row r="55" spans="1:6" x14ac:dyDescent="0.25">
      <c r="A55" s="33"/>
      <c r="B55" s="28" t="s">
        <v>120</v>
      </c>
      <c r="C55" s="39" t="s">
        <v>48</v>
      </c>
      <c r="D55" s="39" t="s">
        <v>177</v>
      </c>
      <c r="E55" s="39" t="s">
        <v>222</v>
      </c>
      <c r="F55" s="33"/>
    </row>
    <row r="56" spans="1:6" x14ac:dyDescent="0.25">
      <c r="A56" s="33"/>
      <c r="B56" s="28" t="s">
        <v>121</v>
      </c>
      <c r="C56" s="39" t="s">
        <v>41</v>
      </c>
      <c r="D56" s="39" t="s">
        <v>41</v>
      </c>
      <c r="E56" s="39" t="s">
        <v>223</v>
      </c>
      <c r="F56" s="33"/>
    </row>
    <row r="57" spans="1:6" x14ac:dyDescent="0.25">
      <c r="A57" s="33"/>
      <c r="B57" s="33"/>
      <c r="C57" s="41"/>
      <c r="D57" s="41"/>
      <c r="E57" s="41"/>
      <c r="F57" s="33"/>
    </row>
    <row r="58" spans="1:6" x14ac:dyDescent="0.25">
      <c r="A58" s="33"/>
      <c r="B58" s="28" t="s">
        <v>139</v>
      </c>
      <c r="C58" s="39" t="s">
        <v>16</v>
      </c>
      <c r="D58" s="39" t="s">
        <v>16</v>
      </c>
      <c r="E58" s="39" t="s">
        <v>84</v>
      </c>
      <c r="F58" s="33"/>
    </row>
    <row r="59" spans="1:6" x14ac:dyDescent="0.25">
      <c r="A59" s="33"/>
      <c r="B59" s="28" t="s">
        <v>140</v>
      </c>
      <c r="C59" s="39" t="s">
        <v>11</v>
      </c>
      <c r="D59" s="39" t="s">
        <v>122</v>
      </c>
      <c r="E59" s="39" t="s">
        <v>123</v>
      </c>
      <c r="F59" s="33"/>
    </row>
    <row r="60" spans="1:6" x14ac:dyDescent="0.25">
      <c r="A60" s="33"/>
      <c r="B60" s="28" t="s">
        <v>141</v>
      </c>
      <c r="C60" s="39" t="s">
        <v>12</v>
      </c>
      <c r="D60" s="39" t="s">
        <v>124</v>
      </c>
      <c r="E60" s="39" t="s">
        <v>125</v>
      </c>
      <c r="F60" s="33"/>
    </row>
    <row r="61" spans="1:6" x14ac:dyDescent="0.25">
      <c r="A61" s="33"/>
      <c r="B61" s="33"/>
      <c r="C61" s="41"/>
      <c r="D61" s="41"/>
      <c r="E61" s="41"/>
      <c r="F61" s="33"/>
    </row>
    <row r="62" spans="1:6" x14ac:dyDescent="0.25">
      <c r="A62" s="34"/>
      <c r="B62" s="28" t="s">
        <v>142</v>
      </c>
      <c r="C62" s="39" t="s">
        <v>51</v>
      </c>
      <c r="D62" s="39" t="s">
        <v>178</v>
      </c>
      <c r="E62" s="42" t="s">
        <v>231</v>
      </c>
      <c r="F62" s="33"/>
    </row>
    <row r="63" spans="1:6" x14ac:dyDescent="0.25">
      <c r="A63" s="33"/>
      <c r="B63" s="28" t="s">
        <v>143</v>
      </c>
      <c r="C63" s="39" t="s">
        <v>54</v>
      </c>
      <c r="D63" s="39" t="s">
        <v>163</v>
      </c>
      <c r="E63" s="42" t="s">
        <v>228</v>
      </c>
      <c r="F63" s="33"/>
    </row>
    <row r="64" spans="1:6" ht="63.75" x14ac:dyDescent="0.25">
      <c r="A64" s="33"/>
      <c r="B64" s="28" t="s">
        <v>144</v>
      </c>
      <c r="C64" s="39" t="s">
        <v>64</v>
      </c>
      <c r="D64" s="39" t="s">
        <v>179</v>
      </c>
      <c r="E64" s="42" t="s">
        <v>236</v>
      </c>
      <c r="F64" s="33"/>
    </row>
    <row r="65" spans="1:10" x14ac:dyDescent="0.25">
      <c r="A65" s="33"/>
      <c r="B65" s="28" t="s">
        <v>145</v>
      </c>
      <c r="C65" s="39" t="s">
        <v>14</v>
      </c>
      <c r="D65" s="39" t="s">
        <v>180</v>
      </c>
      <c r="E65" s="42" t="s">
        <v>232</v>
      </c>
      <c r="F65" s="33"/>
    </row>
    <row r="66" spans="1:10" ht="89.25" x14ac:dyDescent="0.25">
      <c r="A66" s="33"/>
      <c r="B66" s="28" t="s">
        <v>146</v>
      </c>
      <c r="C66" s="39" t="s">
        <v>65</v>
      </c>
      <c r="D66" s="39" t="s">
        <v>181</v>
      </c>
      <c r="E66" s="42" t="s">
        <v>237</v>
      </c>
      <c r="F66" s="33"/>
    </row>
    <row r="67" spans="1:10" x14ac:dyDescent="0.25">
      <c r="A67" s="33"/>
      <c r="B67" s="28" t="s">
        <v>147</v>
      </c>
      <c r="C67" s="39" t="s">
        <v>57</v>
      </c>
      <c r="D67" s="39" t="s">
        <v>182</v>
      </c>
      <c r="E67" s="39" t="s">
        <v>233</v>
      </c>
      <c r="F67" s="39"/>
      <c r="G67" s="39"/>
      <c r="H67" s="39"/>
      <c r="I67" s="39"/>
      <c r="J67" s="39"/>
    </row>
    <row r="68" spans="1:10" ht="114.75" x14ac:dyDescent="0.25">
      <c r="A68" s="33"/>
      <c r="B68" s="28" t="s">
        <v>148</v>
      </c>
      <c r="C68" s="39" t="s">
        <v>157</v>
      </c>
      <c r="D68" s="39" t="s">
        <v>183</v>
      </c>
      <c r="E68" s="39" t="s">
        <v>238</v>
      </c>
      <c r="F68" s="39"/>
      <c r="G68" s="39"/>
      <c r="H68" s="39"/>
      <c r="I68" s="39"/>
      <c r="J68" s="39"/>
    </row>
    <row r="69" spans="1:10" x14ac:dyDescent="0.25">
      <c r="A69" s="33"/>
      <c r="B69" s="28" t="s">
        <v>149</v>
      </c>
      <c r="C69" s="39" t="s">
        <v>58</v>
      </c>
      <c r="D69" s="39" t="s">
        <v>184</v>
      </c>
      <c r="E69" s="39" t="s">
        <v>240</v>
      </c>
      <c r="F69" s="39"/>
      <c r="G69" s="39"/>
      <c r="H69" s="39"/>
      <c r="I69" s="39"/>
      <c r="J69" s="39"/>
    </row>
    <row r="70" spans="1:10" ht="76.5" x14ac:dyDescent="0.25">
      <c r="A70" s="33"/>
      <c r="B70" s="28" t="s">
        <v>150</v>
      </c>
      <c r="C70" s="39" t="s">
        <v>69</v>
      </c>
      <c r="D70" s="39" t="s">
        <v>185</v>
      </c>
      <c r="E70" s="39" t="s">
        <v>239</v>
      </c>
      <c r="F70" s="39"/>
      <c r="G70" s="39"/>
      <c r="H70" s="39"/>
      <c r="I70" s="39"/>
      <c r="J70" s="39"/>
    </row>
    <row r="71" spans="1:10" x14ac:dyDescent="0.25">
      <c r="A71" s="33"/>
      <c r="B71" s="28" t="s">
        <v>151</v>
      </c>
      <c r="C71" s="39" t="s">
        <v>59</v>
      </c>
      <c r="D71" s="39" t="s">
        <v>189</v>
      </c>
      <c r="E71" s="39" t="s">
        <v>242</v>
      </c>
      <c r="F71" s="39"/>
      <c r="G71" s="39"/>
      <c r="H71" s="39"/>
      <c r="I71" s="39"/>
      <c r="J71" s="39"/>
    </row>
    <row r="72" spans="1:10" ht="89.25" x14ac:dyDescent="0.25">
      <c r="A72" s="33"/>
      <c r="B72" s="28" t="s">
        <v>152</v>
      </c>
      <c r="C72" s="39" t="s">
        <v>68</v>
      </c>
      <c r="D72" s="39" t="s">
        <v>186</v>
      </c>
      <c r="E72" s="39" t="s">
        <v>241</v>
      </c>
      <c r="F72" s="39"/>
      <c r="G72" s="39"/>
      <c r="H72" s="39"/>
      <c r="I72" s="39"/>
      <c r="J72" s="39"/>
    </row>
    <row r="73" spans="1:10" x14ac:dyDescent="0.25">
      <c r="A73" s="33"/>
      <c r="B73" s="28" t="s">
        <v>153</v>
      </c>
      <c r="C73" s="39" t="s">
        <v>60</v>
      </c>
      <c r="D73" s="39" t="s">
        <v>190</v>
      </c>
      <c r="E73" s="39" t="s">
        <v>234</v>
      </c>
      <c r="F73" s="39"/>
      <c r="G73" s="39"/>
      <c r="H73" s="39"/>
      <c r="I73" s="39"/>
      <c r="J73" s="39"/>
    </row>
    <row r="74" spans="1:10" ht="38.25" x14ac:dyDescent="0.25">
      <c r="A74" s="33"/>
      <c r="B74" s="28" t="s">
        <v>154</v>
      </c>
      <c r="C74" s="39" t="s">
        <v>66</v>
      </c>
      <c r="D74" s="39" t="s">
        <v>187</v>
      </c>
      <c r="E74" s="39" t="s">
        <v>243</v>
      </c>
      <c r="F74" s="39"/>
      <c r="G74" s="39"/>
      <c r="H74" s="39"/>
      <c r="I74" s="39"/>
      <c r="J74" s="39"/>
    </row>
    <row r="75" spans="1:10" x14ac:dyDescent="0.25">
      <c r="A75" s="33"/>
      <c r="B75" s="28" t="s">
        <v>155</v>
      </c>
      <c r="C75" s="39" t="s">
        <v>61</v>
      </c>
      <c r="D75" s="39" t="s">
        <v>191</v>
      </c>
      <c r="E75" s="39" t="s">
        <v>235</v>
      </c>
      <c r="F75" s="39"/>
      <c r="G75" s="39"/>
      <c r="H75" s="39"/>
      <c r="I75" s="39"/>
      <c r="J75" s="39"/>
    </row>
    <row r="76" spans="1:10" ht="38.25" x14ac:dyDescent="0.25">
      <c r="A76" s="33"/>
      <c r="B76" s="28" t="s">
        <v>156</v>
      </c>
      <c r="C76" s="39" t="s">
        <v>67</v>
      </c>
      <c r="D76" s="39" t="s">
        <v>188</v>
      </c>
      <c r="E76" s="39" t="s">
        <v>244</v>
      </c>
      <c r="F76" s="39"/>
      <c r="G76" s="39"/>
      <c r="H76" s="39"/>
      <c r="I76" s="39"/>
      <c r="J76" s="39"/>
    </row>
    <row r="77" spans="1:10" x14ac:dyDescent="0.25">
      <c r="A77" s="33"/>
      <c r="B77" s="33"/>
      <c r="C77" s="41"/>
      <c r="D77" s="41"/>
      <c r="E77" s="41"/>
      <c r="F77" s="33"/>
    </row>
    <row r="78" spans="1:10" x14ac:dyDescent="0.25">
      <c r="A78" s="33" t="s">
        <v>138</v>
      </c>
      <c r="B78" s="28" t="s">
        <v>111</v>
      </c>
      <c r="C78" s="39" t="s">
        <v>62</v>
      </c>
      <c r="D78" s="39" t="s">
        <v>192</v>
      </c>
      <c r="E78" s="39" t="s">
        <v>215</v>
      </c>
      <c r="F78" s="33"/>
    </row>
    <row r="79" spans="1:10" x14ac:dyDescent="0.2">
      <c r="A79" s="33" t="s">
        <v>138</v>
      </c>
      <c r="B79" s="43" t="s">
        <v>112</v>
      </c>
      <c r="C79" s="44" t="s">
        <v>263</v>
      </c>
      <c r="D79" s="44" t="s">
        <v>264</v>
      </c>
      <c r="E79" s="44" t="s">
        <v>265</v>
      </c>
      <c r="F79" s="33"/>
    </row>
    <row r="80" spans="1:10" x14ac:dyDescent="0.25">
      <c r="A80" s="33"/>
      <c r="B80" s="33"/>
      <c r="C80" s="41"/>
      <c r="D80" s="41"/>
      <c r="E80" s="41"/>
      <c r="F80" s="33"/>
    </row>
    <row r="81" spans="1:6" x14ac:dyDescent="0.25">
      <c r="A81" s="34"/>
      <c r="B81" s="35"/>
      <c r="C81" s="41"/>
      <c r="D81" s="41"/>
      <c r="E81" s="41"/>
      <c r="F81" s="33"/>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33F42C86C3B544A091947C70CD57DC" ma:contentTypeVersion="6" ma:contentTypeDescription="Ein neues Dokument erstellen." ma:contentTypeScope="" ma:versionID="558fd0407b328572d1a10c4cab466487">
  <xsd:schema xmlns:xsd="http://www.w3.org/2001/XMLSchema" xmlns:xs="http://www.w3.org/2001/XMLSchema" xmlns:p="http://schemas.microsoft.com/office/2006/metadata/properties" xmlns:ns1="http://schemas.microsoft.com/sharepoint/v3" xmlns:ns2="b96e8123-d0de-41b8-8f0e-5f199e705244" targetNamespace="http://schemas.microsoft.com/office/2006/metadata/properties" ma:root="true" ma:fieldsID="3eed3cccc78757909b7e367c3f1bbb98" ns1:_="" ns2:_="">
    <xsd:import namespace="http://schemas.microsoft.com/sharepoint/v3"/>
    <xsd:import namespace="b96e8123-d0de-41b8-8f0e-5f199e705244"/>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e8123-d0de-41b8-8f0e-5f199e705244"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el_RM xmlns="b96e8123-d0de-41b8-8f0e-5f199e705244">Stgalim terziar da las studentas e dals students cun il Grischun sco chantun da domicil, 2023-2024</Titel_RM>
    <Titel_DE xmlns="b96e8123-d0de-41b8-8f0e-5f199e705244">Tertiärstufe Studierende mit Wohnkanton Graubünden, 2023-2024</Titel_DE>
    <Titel_IT xmlns="b96e8123-d0de-41b8-8f0e-5f199e705244">Settore terziario studenti con Grigioni come Cantone di residenza, 2023-2024</Titel_IT>
    <Kategorie xmlns="b96e8123-d0de-41b8-8f0e-5f199e705244">15 Bildung, Wissenschaft</Kategorie>
    <PublishingExpirationDate xmlns="http://schemas.microsoft.com/sharepoint/v3" xsi:nil="true"/>
    <PublishingStartDate xmlns="http://schemas.microsoft.com/sharepoint/v3" xsi:nil="true"/>
    <Benutzerdefinierte_x0020_ID xmlns="b96e8123-d0de-41b8-8f0e-5f199e705244">1003</Benutzerdefinierte_x0020_ID>
  </documentManagement>
</p:properties>
</file>

<file path=customXml/itemProps1.xml><?xml version="1.0" encoding="utf-8"?>
<ds:datastoreItem xmlns:ds="http://schemas.openxmlformats.org/officeDocument/2006/customXml" ds:itemID="{4289B332-378B-4927-A8DD-5DA778E96AE6}"/>
</file>

<file path=customXml/itemProps2.xml><?xml version="1.0" encoding="utf-8"?>
<ds:datastoreItem xmlns:ds="http://schemas.openxmlformats.org/officeDocument/2006/customXml" ds:itemID="{CECCC25F-38EF-4166-A978-DA2D07C22CBE}"/>
</file>

<file path=customXml/itemProps3.xml><?xml version="1.0" encoding="utf-8"?>
<ds:datastoreItem xmlns:ds="http://schemas.openxmlformats.org/officeDocument/2006/customXml" ds:itemID="{D9926E0F-8FBC-4A48-9EC6-2BFD2D6B905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Studierende nach Regionen</vt:lpstr>
      <vt:lpstr>Studierende nach Fachrichtung</vt:lpstr>
      <vt:lpstr>Erläuterungen</vt:lpstr>
      <vt:lpstr>Uebersetzungen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Tertiärstufe: Studierende mit Wohnkanton Graubünden</dc:title>
  <dc:creator/>
  <cp:lastModifiedBy/>
  <dcterms:created xsi:type="dcterms:W3CDTF">2015-06-05T18:19:34Z</dcterms:created>
  <dcterms:modified xsi:type="dcterms:W3CDTF">2024-11-02T09:52:31Z</dcterms:modified>
  <cp:category>Bildungsstatistik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0x010100BB33F42C86C3B544A091947C70CD57DC</vt:lpwstr>
  </property>
</Properties>
</file>